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300" activeTab="4"/>
  </bookViews>
  <sheets>
    <sheet name="IS-31Mar05" sheetId="1" r:id="rId1"/>
    <sheet name="CIS-31Mar05" sheetId="2" r:id="rId2"/>
    <sheet name="CBS-Mar 05" sheetId="3" r:id="rId3"/>
    <sheet name="CF-31Mar05" sheetId="4" r:id="rId4"/>
    <sheet name="Equity" sheetId="5" r:id="rId5"/>
  </sheets>
  <externalReferences>
    <externalReference r:id="rId8"/>
  </externalReferences>
  <definedNames>
    <definedName name="Note1">#REF!</definedName>
    <definedName name="_xlnm.Print_Area" localSheetId="2">'CBS-Mar 05'!$B$1:$AM$73</definedName>
    <definedName name="_xlnm.Print_Area" localSheetId="3">'CF-31Mar05'!$A$1:$BC$62</definedName>
    <definedName name="_xlnm.Print_Area" localSheetId="1">'CIS-31Mar05'!$A$1:$F$57</definedName>
    <definedName name="_xlnm.Print_Titles" localSheetId="3">'CF-31Mar05'!$1:$11</definedName>
  </definedNames>
  <calcPr fullCalcOnLoad="1"/>
</workbook>
</file>

<file path=xl/sharedStrings.xml><?xml version="1.0" encoding="utf-8"?>
<sst xmlns="http://schemas.openxmlformats.org/spreadsheetml/2006/main" count="339" uniqueCount="214">
  <si>
    <t xml:space="preserve">RUBY QUEST BERHAD </t>
  </si>
  <si>
    <t xml:space="preserve"> (Company No.412406-T)</t>
  </si>
  <si>
    <t>QUARTERLY REPORT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</si>
  <si>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</si>
  <si>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</si>
  <si>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</si>
  <si>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</si>
  <si>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</si>
  <si>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</si>
  <si>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Quarter</t>
  </si>
  <si>
    <t>To Date</t>
  </si>
  <si>
    <t>Period</t>
  </si>
  <si>
    <t>31.03.2005</t>
  </si>
  <si>
    <t>31.03.2004</t>
  </si>
  <si>
    <t>RM'000</t>
  </si>
  <si>
    <t>Revenue</t>
  </si>
  <si>
    <t>Operating Expenses</t>
  </si>
  <si>
    <t>Other Operating Income</t>
  </si>
  <si>
    <t>Profit from operating Income</t>
  </si>
  <si>
    <t>Share of profit/(loss) of associates</t>
  </si>
  <si>
    <t>Finance Cost</t>
  </si>
  <si>
    <t xml:space="preserve"> </t>
  </si>
  <si>
    <t>Profit before taxation</t>
  </si>
  <si>
    <t>Taxation</t>
  </si>
  <si>
    <t>Net Profit / (Loss) for the period</t>
  </si>
  <si>
    <t>Basic earnings per share (sen)</t>
  </si>
  <si>
    <t>Diluted earnings per share (sen)</t>
  </si>
  <si>
    <t>Dividend per share (sen)</t>
  </si>
  <si>
    <t xml:space="preserve">RUBY QUEST BERHAD  </t>
  </si>
  <si>
    <t>(Company No.412406-T)</t>
  </si>
  <si>
    <t>(The figures have not been audited)</t>
  </si>
  <si>
    <t>N/A</t>
  </si>
  <si>
    <t>Depreciation</t>
  </si>
  <si>
    <t xml:space="preserve">Amortisation of Intangible Assets </t>
  </si>
  <si>
    <t>Other Operating Expenses</t>
  </si>
  <si>
    <t>Income from Investment</t>
  </si>
  <si>
    <t>Weighted average number of shares ('000)</t>
  </si>
  <si>
    <t>Earning  per share (sen)</t>
  </si>
  <si>
    <t xml:space="preserve">    Basic</t>
  </si>
  <si>
    <t xml:space="preserve">    Diluted</t>
  </si>
  <si>
    <t>Remarks:</t>
  </si>
  <si>
    <t>No comparative figure is presented as this is the Company's first quarterly report.</t>
  </si>
  <si>
    <t>HOLDING</t>
  </si>
  <si>
    <t>SUBSIDIARIES</t>
  </si>
  <si>
    <t xml:space="preserve">As at end of </t>
  </si>
  <si>
    <t>Quest</t>
  </si>
  <si>
    <t>Ruby Quest Group's Consolidated adjustments</t>
  </si>
  <si>
    <t>Current Quarter</t>
  </si>
  <si>
    <t>QUEST</t>
  </si>
  <si>
    <t>ENVAIR/QSE</t>
  </si>
  <si>
    <t>Equipment &amp;</t>
  </si>
  <si>
    <t>Quest Liquid</t>
  </si>
  <si>
    <t>Envair Mecs</t>
  </si>
  <si>
    <t>31.12.04</t>
  </si>
  <si>
    <t>Cashflow</t>
  </si>
  <si>
    <t>console</t>
  </si>
  <si>
    <t>CONSOLE</t>
  </si>
  <si>
    <t>Ruby Quest</t>
  </si>
  <si>
    <t>Technology</t>
  </si>
  <si>
    <t>Services</t>
  </si>
  <si>
    <t>Vokes Air</t>
  </si>
  <si>
    <t>Separation</t>
  </si>
  <si>
    <t>Filters</t>
  </si>
  <si>
    <t>Engineering</t>
  </si>
  <si>
    <t>Engrg. (PG)</t>
  </si>
  <si>
    <t>RM' 000</t>
  </si>
  <si>
    <t>EMECS</t>
  </si>
  <si>
    <t>ETSB</t>
  </si>
  <si>
    <t>EMECS-PG</t>
  </si>
  <si>
    <t>QSE</t>
  </si>
  <si>
    <t>Console</t>
  </si>
  <si>
    <t>Total</t>
  </si>
  <si>
    <t>NON CURRENT ASSETS</t>
  </si>
  <si>
    <t>Plant &amp; equipment</t>
  </si>
  <si>
    <t>Investments in subsidiaries</t>
  </si>
  <si>
    <t>Investments in associates</t>
  </si>
  <si>
    <t>Deferred tax assets</t>
  </si>
  <si>
    <t>Goodwill on consolidation</t>
  </si>
  <si>
    <t>CURRENT ASSETS</t>
  </si>
  <si>
    <t>Inventories</t>
  </si>
  <si>
    <t>Trade debtors</t>
  </si>
  <si>
    <t>Other debtors, deposits and prepayments</t>
  </si>
  <si>
    <t>Amount due from holding company</t>
  </si>
  <si>
    <t>Amount due from related companies</t>
  </si>
  <si>
    <t>Amount due from Associates</t>
  </si>
  <si>
    <t>Tax refundable</t>
  </si>
  <si>
    <t>Deferred expenditure</t>
  </si>
  <si>
    <t>Fixed deposits with licensed bank</t>
  </si>
  <si>
    <t>Cash and bank balances</t>
  </si>
  <si>
    <t>Trade creditors</t>
  </si>
  <si>
    <t>Other creditors and accruals</t>
  </si>
  <si>
    <t>Amount due to subsidiaries</t>
  </si>
  <si>
    <t>Amount due to related companies</t>
  </si>
  <si>
    <t>Amount due to associates</t>
  </si>
  <si>
    <t>Amount due to directors</t>
  </si>
  <si>
    <t>Provision for royalty</t>
  </si>
  <si>
    <t>Provision for taxation</t>
  </si>
  <si>
    <t xml:space="preserve">Borrowings </t>
  </si>
  <si>
    <t>NET CURRENT ASSETS</t>
  </si>
  <si>
    <t>Borrowings (secured)</t>
  </si>
  <si>
    <t>Deferred tax liabilities</t>
  </si>
  <si>
    <t>CAPITAL &amp; RESERVES</t>
  </si>
  <si>
    <t>Share capital</t>
  </si>
  <si>
    <t>Convertible redeemable preference shares</t>
  </si>
  <si>
    <t>Share premium reserve</t>
  </si>
  <si>
    <t xml:space="preserve">Retained profits </t>
  </si>
  <si>
    <t>Retained profits b/f  (Envair grp &amp; QSE)</t>
  </si>
  <si>
    <t>Profit/loss for the year</t>
  </si>
  <si>
    <t>Reserve on consolidation</t>
  </si>
  <si>
    <t>SHAREHOLDERS' EQUITY</t>
  </si>
  <si>
    <t>Net tangible assets per share of RM0.10 each (sen)</t>
  </si>
  <si>
    <t>Remarks:-</t>
  </si>
  <si>
    <r>
      <t xml:space="preserve">LESS: </t>
    </r>
    <r>
      <rPr>
        <b/>
        <u val="single"/>
        <sz val="10"/>
        <rFont val="Arial"/>
        <family val="2"/>
      </rPr>
      <t>CURRENT LIABILITIES</t>
    </r>
  </si>
  <si>
    <r>
      <t xml:space="preserve">LESS: </t>
    </r>
    <r>
      <rPr>
        <b/>
        <u val="single"/>
        <sz val="10"/>
        <rFont val="Arial"/>
        <family val="2"/>
      </rPr>
      <t>NON CURRENT LIABILITIES</t>
    </r>
  </si>
  <si>
    <t>RM</t>
  </si>
  <si>
    <t>Consolidated</t>
  </si>
  <si>
    <t>Operating activities</t>
  </si>
  <si>
    <t>Profit / (Loss) before taxation</t>
  </si>
  <si>
    <t>Adjustments for:-</t>
  </si>
  <si>
    <t>Amortisation of goodwill</t>
  </si>
  <si>
    <t>Share of result of associate</t>
  </si>
  <si>
    <t>Interest income</t>
  </si>
  <si>
    <t>Bad debts recovered</t>
  </si>
  <si>
    <t>Interest expense</t>
  </si>
  <si>
    <t>Plant &amp; equipment written off</t>
  </si>
  <si>
    <t>Provision for royalty expenses</t>
  </si>
  <si>
    <t>Operating profit / (loss) before working capital changes</t>
  </si>
  <si>
    <t>Inventories  (Increase)/Decrease</t>
  </si>
  <si>
    <t>Debtors  (Increase)/Decrease</t>
  </si>
  <si>
    <t>Creditors - Increase/(Decrease)</t>
  </si>
  <si>
    <t>Amount due to director</t>
  </si>
  <si>
    <t>Related companies balances</t>
  </si>
  <si>
    <t>Cash generated from / (used in) operations</t>
  </si>
  <si>
    <t>Interest received</t>
  </si>
  <si>
    <t>Royalty paid</t>
  </si>
  <si>
    <t>Tax paid</t>
  </si>
  <si>
    <t>Net cash generated from / (used in) operating activities</t>
  </si>
  <si>
    <t>Investing activities</t>
  </si>
  <si>
    <t xml:space="preserve">Purchase of property, plant and equipment </t>
  </si>
  <si>
    <t>*</t>
  </si>
  <si>
    <t>(Addition) / Withdrawal of FDs pledged to financial inst.</t>
  </si>
  <si>
    <t>Additional investments in subsidiaries</t>
  </si>
  <si>
    <t>#</t>
  </si>
  <si>
    <t>Net cash flows from / (used in) financing activities</t>
  </si>
  <si>
    <t>Financing actitivites</t>
  </si>
  <si>
    <t>Repayment of hire purchase liabilities</t>
  </si>
  <si>
    <t>***</t>
  </si>
  <si>
    <t>Repayment of term loan</t>
  </si>
  <si>
    <t>Proceeds from disposal of fixed assets</t>
  </si>
  <si>
    <t>Net drawdown of bankers acceptances</t>
  </si>
  <si>
    <t>Listing expenses</t>
  </si>
  <si>
    <t>Net cash from / (used in) financing activities</t>
  </si>
  <si>
    <t>Net increase / (decrease) in cash and cash equivalents</t>
  </si>
  <si>
    <t>Cash and cash equivalents at beginning of year</t>
  </si>
  <si>
    <t>Cash and cash equivalents at end of year comprise:-</t>
  </si>
  <si>
    <t>* - Non-cash transactions</t>
  </si>
  <si>
    <t>Purchase of property, plant and equipment</t>
  </si>
  <si>
    <t>Less : Financed by hire purchase arrangement</t>
  </si>
  <si>
    <t>Cash used</t>
  </si>
  <si>
    <t># - Additional investments in subsidiaries</t>
  </si>
  <si>
    <t>Total purchase consideration</t>
  </si>
  <si>
    <t>Less: Credited to "Amount due to subsidiaries"</t>
  </si>
  <si>
    <t>^ - Issue of ordinary shares</t>
  </si>
  <si>
    <t>Proceeds from issue of shares</t>
  </si>
  <si>
    <t>Less: Credited to "Amount due from related co."</t>
  </si>
  <si>
    <t>Repayment of HP - incls. interest and principal</t>
  </si>
  <si>
    <t>Control</t>
  </si>
  <si>
    <t>CONDENSED CONSOLIDATED CASH FLOWS STATEMENT</t>
  </si>
  <si>
    <t>Cumulative</t>
  </si>
  <si>
    <t>Year-to-date</t>
  </si>
  <si>
    <t>RM('000)</t>
  </si>
  <si>
    <t>Cash and cash equivalents at end of period</t>
  </si>
  <si>
    <t>Acquisition of subsidiaries (net of cash acquired)</t>
  </si>
  <si>
    <t xml:space="preserve">Interest paid  </t>
  </si>
  <si>
    <t>* Denotes - loss of RM 64</t>
  </si>
  <si>
    <t>* Denotes (RM 64)</t>
  </si>
  <si>
    <t>SUMMARY OF KEY FINANCIAL INFORMATION</t>
  </si>
  <si>
    <t>Profit/ (loss) before taxation</t>
  </si>
  <si>
    <t>interest</t>
  </si>
  <si>
    <t>Profit /(loss) after tax and minority</t>
  </si>
  <si>
    <t>As At End of</t>
  </si>
  <si>
    <t>As At Preceding</t>
  </si>
  <si>
    <t>Financial Year</t>
  </si>
  <si>
    <t>End</t>
  </si>
  <si>
    <t>The net tangible assets per share as at preceding financial year end is calculated by dividing the net tangible</t>
  </si>
  <si>
    <t>Net tangible assets per share (RM)</t>
  </si>
  <si>
    <t xml:space="preserve">assets against the total issued paid-up capital of the Company of 414,678 ordinary shares of RM1.00 each as at </t>
  </si>
  <si>
    <t>preceding financial year end.</t>
  </si>
  <si>
    <t xml:space="preserve">CONDENSED CONSOLIDATED STATEMENTS OF CHANGES IN EQUITY </t>
  </si>
  <si>
    <t>FOR THE 1ST QUARTER ENDED 31 MARCH 2005</t>
  </si>
  <si>
    <t>Issued</t>
  </si>
  <si>
    <t>Capital</t>
  </si>
  <si>
    <t>Share</t>
  </si>
  <si>
    <t>Premium</t>
  </si>
  <si>
    <t>Retained</t>
  </si>
  <si>
    <t>Profits</t>
  </si>
  <si>
    <t>Reserve on</t>
  </si>
  <si>
    <t>Consolidation</t>
  </si>
  <si>
    <t>TOTAL</t>
  </si>
  <si>
    <t>Profit for the period</t>
  </si>
  <si>
    <t>(The Condensed Consolidated Statements of Changes in Equity should be read in conjunction with</t>
  </si>
  <si>
    <t>the audited financial statements of QUEST for the year ended 31 December 2004).</t>
  </si>
  <si>
    <t>Balance as at 1 January 2005</t>
  </si>
  <si>
    <t>Balance as at 31 March 2005</t>
  </si>
  <si>
    <t>Bonus Issue</t>
  </si>
  <si>
    <t>Acquisition of subsidiaries</t>
  </si>
  <si>
    <t>via share swap</t>
  </si>
  <si>
    <t>As At 31 March 2005</t>
  </si>
  <si>
    <t>CONDENSED CONSOLIDATED INCOME STATEMENT AS AT 31 MARCH 2005</t>
  </si>
  <si>
    <t>CONDENSED CONSOLIDATED BALANCE SHEETS  AS AT 31 MARCH 2005</t>
  </si>
  <si>
    <t>No comparative figures is presented as this is the Company's first quarterly report.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</si>
  <si>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</si>
  <si>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financial </t>
  </si>
  <si>
    <t>statements for QUEST for the year ended 31 December 2004.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</si>
</sst>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.0_);\(#,##0.0\)"/>
    <numFmt numFmtId="172" formatCode="#,##0.00;\&lt;#,##0.00\&gt;"/>
    <numFmt numFmtId="173" formatCode="#,##0.00;[Red]#,##0.00"/>
    <numFmt numFmtId="174" formatCode="#,##0.000;[Red]#,##0.000"/>
    <numFmt numFmtId="175" formatCode="#,##0.0000;[Red]#,##0.0000"/>
    <numFmt numFmtId="176" formatCode="0.0%"/>
    <numFmt numFmtId="177" formatCode="0_);[Red]\(0\)"/>
    <numFmt numFmtId="178" formatCode="0.00_);\(0.00\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0.0"/>
    <numFmt numFmtId="183" formatCode="0.00_)"/>
    <numFmt numFmtId="184" formatCode="0.0_);\(0.0\)"/>
    <numFmt numFmtId="185" formatCode="0_);\(0\)"/>
    <numFmt numFmtId="186" formatCode="0.00_);[Red]\(0.00\)"/>
    <numFmt numFmtId="187" formatCode="[$-409]dddd\,\ mmmm\ dd\,\ yyyy"/>
    <numFmt numFmtId="188" formatCode="[$-409]mmm\-yy;@"/>
    <numFmt numFmtId="189" formatCode="mmm\-yyyy"/>
    <numFmt numFmtId="190" formatCode="#,##0.0"/>
    <numFmt numFmtId="191" formatCode="_(* #,##0.0_);_(* \(#,##0.0\);_(* &quot;-&quot;?_);_(@_)"/>
    <numFmt numFmtId="192" formatCode="[$-409]h:mm:ss\ AM/PM"/>
    <numFmt numFmtId="193" formatCode="\1\9\8"/>
    <numFmt numFmtId="194" formatCode="#,##0.0_);[Red]\(#,##0.0\)"/>
    <numFmt numFmtId="195" formatCode="_(* #,##0.000_);_(* \(#,##0.000\);_(* &quot;-&quot;???_);_(@_)"/>
    <numFmt numFmtId="196" formatCode="#,##0.000_);\(#,##0.000\)"/>
    <numFmt numFmtId="197" formatCode="0.0_);[Red]\(0.0\)"/>
    <numFmt numFmtId="198" formatCode="[$-409]d\-mmm\-yy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0"/>
    </font>
    <font>
      <b/>
      <i/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0"/>
    </font>
    <font>
      <b/>
      <u val="single"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12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10" fontId="2" fillId="3" borderId="1" applyNumberFormat="0" applyBorder="0" applyAlignment="0" applyProtection="0"/>
    <xf numFmtId="183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7" fillId="0" borderId="0">
      <alignment/>
      <protection/>
    </xf>
  </cellStyleXfs>
  <cellXfs count="10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15" applyNumberFormat="1" applyAlignment="1">
      <alignment/>
    </xf>
    <xf numFmtId="0" fontId="12" fillId="0" borderId="0" xfId="0" applyFont="1" applyAlignment="1">
      <alignment horizontal="right"/>
    </xf>
    <xf numFmtId="41" fontId="0" fillId="0" borderId="2" xfId="15" applyNumberFormat="1" applyBorder="1" applyAlignment="1">
      <alignment/>
    </xf>
    <xf numFmtId="0" fontId="0" fillId="0" borderId="2" xfId="0" applyBorder="1" applyAlignment="1">
      <alignment horizontal="right"/>
    </xf>
    <xf numFmtId="39" fontId="0" fillId="0" borderId="0" xfId="15" applyNumberFormat="1" applyAlignment="1">
      <alignment/>
    </xf>
    <xf numFmtId="41" fontId="0" fillId="0" borderId="0" xfId="15" applyNumberFormat="1" applyAlignment="1">
      <alignment horizontal="right"/>
    </xf>
    <xf numFmtId="41" fontId="0" fillId="0" borderId="0" xfId="15" applyNumberFormat="1" applyFont="1" applyAlignment="1">
      <alignment horizontal="right"/>
    </xf>
    <xf numFmtId="0" fontId="13" fillId="0" borderId="0" xfId="0" applyFont="1" applyAlignment="1">
      <alignment/>
    </xf>
    <xf numFmtId="0" fontId="13" fillId="4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170" fontId="13" fillId="0" borderId="0" xfId="15" applyNumberFormat="1" applyFont="1" applyAlignment="1">
      <alignment/>
    </xf>
    <xf numFmtId="170" fontId="13" fillId="4" borderId="0" xfId="15" applyNumberFormat="1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70" fontId="5" fillId="0" borderId="0" xfId="15" applyNumberFormat="1" applyFont="1" applyAlignment="1">
      <alignment horizontal="center"/>
    </xf>
    <xf numFmtId="170" fontId="5" fillId="0" borderId="0" xfId="15" applyNumberFormat="1" applyFont="1" applyAlignment="1">
      <alignment/>
    </xf>
    <xf numFmtId="170" fontId="5" fillId="4" borderId="0" xfId="15" applyNumberFormat="1" applyFont="1" applyFill="1" applyAlignment="1">
      <alignment/>
    </xf>
    <xf numFmtId="170" fontId="0" fillId="0" borderId="0" xfId="15" applyNumberFormat="1" applyFont="1" applyAlignment="1">
      <alignment/>
    </xf>
    <xf numFmtId="0" fontId="5" fillId="0" borderId="0" xfId="0" applyFont="1" applyAlignment="1" quotePrefix="1">
      <alignment horizontal="center"/>
    </xf>
    <xf numFmtId="170" fontId="5" fillId="4" borderId="0" xfId="15" applyNumberFormat="1" applyFont="1" applyFill="1" applyAlignment="1">
      <alignment horizontal="center"/>
    </xf>
    <xf numFmtId="170" fontId="15" fillId="0" borderId="0" xfId="15" applyNumberFormat="1" applyFont="1" applyAlignment="1">
      <alignment horizontal="center"/>
    </xf>
    <xf numFmtId="170" fontId="15" fillId="4" borderId="0" xfId="15" applyNumberFormat="1" applyFont="1" applyFill="1" applyAlignment="1">
      <alignment horizontal="center"/>
    </xf>
    <xf numFmtId="0" fontId="5" fillId="0" borderId="3" xfId="0" applyFont="1" applyBorder="1" applyAlignment="1">
      <alignment/>
    </xf>
    <xf numFmtId="0" fontId="15" fillId="0" borderId="0" xfId="0" applyFont="1" applyAlignment="1">
      <alignment/>
    </xf>
    <xf numFmtId="170" fontId="0" fillId="4" borderId="0" xfId="15" applyNumberFormat="1" applyFont="1" applyFill="1" applyAlignment="1">
      <alignment/>
    </xf>
    <xf numFmtId="0" fontId="0" fillId="0" borderId="4" xfId="0" applyFont="1" applyBorder="1" applyAlignment="1">
      <alignment/>
    </xf>
    <xf numFmtId="170" fontId="0" fillId="0" borderId="2" xfId="15" applyNumberFormat="1" applyFont="1" applyBorder="1" applyAlignment="1">
      <alignment/>
    </xf>
    <xf numFmtId="170" fontId="0" fillId="0" borderId="0" xfId="15" applyNumberFormat="1" applyFont="1" applyBorder="1" applyAlignment="1">
      <alignment/>
    </xf>
    <xf numFmtId="170" fontId="0" fillId="0" borderId="5" xfId="15" applyNumberFormat="1" applyFont="1" applyBorder="1" applyAlignment="1">
      <alignment/>
    </xf>
    <xf numFmtId="170" fontId="0" fillId="4" borderId="5" xfId="15" applyNumberFormat="1" applyFont="1" applyFill="1" applyBorder="1" applyAlignment="1">
      <alignment/>
    </xf>
    <xf numFmtId="170" fontId="0" fillId="0" borderId="3" xfId="15" applyNumberFormat="1" applyFont="1" applyBorder="1" applyAlignment="1">
      <alignment/>
    </xf>
    <xf numFmtId="170" fontId="0" fillId="4" borderId="3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4" xfId="15" applyNumberFormat="1" applyFont="1" applyBorder="1" applyAlignment="1">
      <alignment/>
    </xf>
    <xf numFmtId="170" fontId="0" fillId="4" borderId="4" xfId="15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70" fontId="0" fillId="0" borderId="6" xfId="15" applyNumberFormat="1" applyFont="1" applyBorder="1" applyAlignment="1">
      <alignment/>
    </xf>
    <xf numFmtId="170" fontId="0" fillId="4" borderId="6" xfId="15" applyNumberFormat="1" applyFont="1" applyFill="1" applyBorder="1" applyAlignment="1">
      <alignment/>
    </xf>
    <xf numFmtId="170" fontId="0" fillId="0" borderId="1" xfId="15" applyNumberFormat="1" applyFont="1" applyBorder="1" applyAlignment="1">
      <alignment/>
    </xf>
    <xf numFmtId="170" fontId="0" fillId="4" borderId="1" xfId="15" applyNumberFormat="1" applyFont="1" applyFill="1" applyBorder="1" applyAlignment="1">
      <alignment/>
    </xf>
    <xf numFmtId="170" fontId="0" fillId="0" borderId="7" xfId="15" applyNumberFormat="1" applyFont="1" applyBorder="1" applyAlignment="1">
      <alignment/>
    </xf>
    <xf numFmtId="170" fontId="0" fillId="0" borderId="8" xfId="15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11" xfId="15" applyNumberFormat="1" applyFont="1" applyBorder="1" applyAlignment="1">
      <alignment/>
    </xf>
    <xf numFmtId="170" fontId="0" fillId="4" borderId="11" xfId="15" applyNumberFormat="1" applyFont="1" applyFill="1" applyBorder="1" applyAlignment="1">
      <alignment/>
    </xf>
    <xf numFmtId="170" fontId="0" fillId="0" borderId="0" xfId="15" applyNumberFormat="1" applyFont="1" applyFill="1" applyBorder="1" applyAlignment="1">
      <alignment/>
    </xf>
    <xf numFmtId="170" fontId="0" fillId="4" borderId="0" xfId="15" applyNumberFormat="1" applyFont="1" applyFill="1" applyBorder="1" applyAlignment="1">
      <alignment/>
    </xf>
    <xf numFmtId="4" fontId="0" fillId="0" borderId="12" xfId="15" applyNumberFormat="1" applyFont="1" applyBorder="1" applyAlignment="1">
      <alignment/>
    </xf>
    <xf numFmtId="4" fontId="0" fillId="0" borderId="0" xfId="15" applyNumberFormat="1" applyFont="1" applyBorder="1" applyAlignment="1">
      <alignment/>
    </xf>
    <xf numFmtId="170" fontId="13" fillId="0" borderId="0" xfId="15" applyNumberFormat="1" applyFont="1" applyFill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170" fontId="7" fillId="0" borderId="0" xfId="15" applyNumberFormat="1" applyFont="1" applyAlignment="1">
      <alignment/>
    </xf>
    <xf numFmtId="170" fontId="0" fillId="0" borderId="0" xfId="15" applyNumberFormat="1" applyFont="1" applyFill="1" applyAlignment="1">
      <alignment/>
    </xf>
    <xf numFmtId="170" fontId="0" fillId="5" borderId="0" xfId="15" applyNumberFormat="1" applyFont="1" applyFill="1" applyAlignment="1">
      <alignment/>
    </xf>
    <xf numFmtId="170" fontId="15" fillId="0" borderId="0" xfId="15" applyNumberFormat="1" applyFont="1" applyAlignment="1">
      <alignment horizontal="left" vertical="top"/>
    </xf>
    <xf numFmtId="170" fontId="0" fillId="0" borderId="0" xfId="15" applyNumberFormat="1" applyFont="1" applyAlignment="1">
      <alignment horizontal="left" vertical="top"/>
    </xf>
    <xf numFmtId="170" fontId="5" fillId="0" borderId="0" xfId="15" applyNumberFormat="1" applyFont="1" applyFill="1" applyAlignment="1">
      <alignment horizontal="left" vertical="top"/>
    </xf>
    <xf numFmtId="170" fontId="5" fillId="0" borderId="0" xfId="15" applyNumberFormat="1" applyFont="1" applyFill="1" applyBorder="1" applyAlignment="1">
      <alignment horizontal="left" vertical="top"/>
    </xf>
    <xf numFmtId="170" fontId="0" fillId="0" borderId="0" xfId="15" applyNumberFormat="1" applyFont="1" applyFill="1" applyAlignment="1">
      <alignment horizontal="left" vertical="top"/>
    </xf>
    <xf numFmtId="170" fontId="15" fillId="0" borderId="0" xfId="15" applyNumberFormat="1" applyFont="1" applyFill="1" applyAlignment="1">
      <alignment horizontal="right" vertical="top"/>
    </xf>
    <xf numFmtId="170" fontId="0" fillId="0" borderId="0" xfId="15" applyNumberFormat="1" applyFont="1" applyAlignment="1" quotePrefix="1">
      <alignment/>
    </xf>
    <xf numFmtId="170" fontId="0" fillId="0" borderId="2" xfId="15" applyNumberFormat="1" applyFont="1" applyFill="1" applyBorder="1" applyAlignment="1">
      <alignment/>
    </xf>
    <xf numFmtId="0" fontId="0" fillId="0" borderId="2" xfId="0" applyFont="1" applyBorder="1" applyAlignment="1">
      <alignment/>
    </xf>
    <xf numFmtId="170" fontId="0" fillId="6" borderId="0" xfId="15" applyNumberFormat="1" applyFont="1" applyFill="1" applyAlignment="1">
      <alignment/>
    </xf>
    <xf numFmtId="170" fontId="0" fillId="0" borderId="13" xfId="15" applyNumberFormat="1" applyFont="1" applyBorder="1" applyAlignment="1">
      <alignment/>
    </xf>
    <xf numFmtId="0" fontId="0" fillId="0" borderId="0" xfId="0" applyFont="1" applyAlignment="1">
      <alignment horizontal="left"/>
    </xf>
    <xf numFmtId="170" fontId="0" fillId="0" borderId="11" xfId="15" applyNumberFormat="1" applyFont="1" applyFill="1" applyBorder="1" applyAlignment="1">
      <alignment/>
    </xf>
    <xf numFmtId="0" fontId="16" fillId="0" borderId="0" xfId="0" applyFont="1" applyAlignment="1">
      <alignment/>
    </xf>
    <xf numFmtId="170" fontId="0" fillId="0" borderId="0" xfId="15" applyNumberFormat="1" applyFont="1" applyAlignment="1">
      <alignment horizontal="right"/>
    </xf>
    <xf numFmtId="0" fontId="0" fillId="0" borderId="0" xfId="0" applyBorder="1" applyAlignment="1">
      <alignment/>
    </xf>
    <xf numFmtId="4" fontId="17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0" fillId="0" borderId="5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43" fontId="15" fillId="0" borderId="0" xfId="15" applyFont="1" applyFill="1" applyAlignment="1">
      <alignment horizontal="center" vertical="top" wrapText="1"/>
    </xf>
    <xf numFmtId="43" fontId="0" fillId="0" borderId="0" xfId="15" applyFont="1" applyFill="1" applyAlignment="1">
      <alignment horizontal="center" vertical="top" wrapText="1"/>
    </xf>
    <xf numFmtId="170" fontId="15" fillId="0" borderId="0" xfId="15" applyNumberFormat="1" applyFont="1" applyFill="1" applyAlignment="1">
      <alignment horizontal="center" vertical="top"/>
    </xf>
    <xf numFmtId="0" fontId="15" fillId="0" borderId="0" xfId="0" applyFont="1" applyAlignment="1">
      <alignment horizontal="center"/>
    </xf>
  </cellXfs>
  <cellStyles count="15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Times New Roman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Ian\Local%20Settings\Temporary%20Internet%20Files\OLKF8\CONSOL-2002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-CAM-01"/>
      <sheetName val="PL-QF-01"/>
      <sheetName val="ICO SALES"/>
      <sheetName val="Sheet2"/>
      <sheetName val="BS-QI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30">
      <selection activeCell="G40" sqref="G40"/>
    </sheetView>
  </sheetViews>
  <sheetFormatPr defaultColWidth="9.140625" defaultRowHeight="12.75"/>
  <cols>
    <col min="1" max="1" width="30.140625" style="0" customWidth="1"/>
    <col min="2" max="2" width="2.421875" style="0" customWidth="1"/>
    <col min="3" max="3" width="13.7109375" style="0" customWidth="1"/>
    <col min="4" max="4" width="2.28125" style="0" customWidth="1"/>
    <col min="5" max="5" width="13.7109375" style="0" customWidth="1"/>
    <col min="6" max="6" width="2.421875" style="0" customWidth="1"/>
    <col min="7" max="7" width="13.7109375" style="0" customWidth="1"/>
    <col min="8" max="8" width="2.140625" style="0" customWidth="1"/>
    <col min="9" max="9" width="13.7109375" style="0" customWidth="1"/>
  </cols>
  <sheetData>
    <row r="1" spans="1:9" ht="15.7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9" ht="12.75">
      <c r="A2" s="99"/>
      <c r="B2" s="99"/>
      <c r="C2" s="99"/>
      <c r="D2" s="99"/>
      <c r="E2" s="99"/>
      <c r="F2" s="99"/>
      <c r="G2" s="99"/>
      <c r="H2" s="99"/>
      <c r="I2" s="99"/>
    </row>
    <row r="3" spans="1:9" ht="12.75">
      <c r="A3" s="101" t="s">
        <v>1</v>
      </c>
      <c r="B3" s="101"/>
      <c r="C3" s="101"/>
      <c r="D3" s="101"/>
      <c r="E3" s="101"/>
      <c r="F3" s="101"/>
      <c r="G3" s="101"/>
      <c r="H3" s="101"/>
      <c r="I3" s="101"/>
    </row>
    <row r="4" spans="1:9" ht="15">
      <c r="A4" s="100" t="s">
        <v>2</v>
      </c>
      <c r="B4" s="100"/>
      <c r="C4" s="100"/>
      <c r="D4" s="100"/>
      <c r="E4" s="100"/>
      <c r="F4" s="100"/>
      <c r="G4" s="100"/>
      <c r="H4" s="100"/>
      <c r="I4" s="100"/>
    </row>
    <row r="6" spans="1:9" ht="12.75">
      <c r="A6" s="98" t="s">
        <v>176</v>
      </c>
      <c r="B6" s="98"/>
      <c r="C6" s="98"/>
      <c r="D6" s="98"/>
      <c r="E6" s="98"/>
      <c r="F6" s="98"/>
      <c r="G6" s="98"/>
      <c r="H6" s="98"/>
      <c r="I6" s="98"/>
    </row>
    <row r="7" spans="1:9" ht="12.75">
      <c r="A7" s="98" t="s">
        <v>207</v>
      </c>
      <c r="B7" s="98"/>
      <c r="C7" s="98"/>
      <c r="D7" s="98"/>
      <c r="E7" s="98"/>
      <c r="F7" s="98"/>
      <c r="G7" s="98"/>
      <c r="H7" s="98"/>
      <c r="I7" s="98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10" spans="3:10" ht="12.75">
      <c r="C10" s="98" t="s">
        <v>3</v>
      </c>
      <c r="D10" s="98"/>
      <c r="E10" s="98"/>
      <c r="F10" s="2"/>
      <c r="G10" s="98" t="s">
        <v>4</v>
      </c>
      <c r="H10" s="98"/>
      <c r="I10" s="98"/>
      <c r="J10" s="3"/>
    </row>
    <row r="11" spans="3:9" s="4" customFormat="1" ht="12">
      <c r="C11" s="5" t="s">
        <v>5</v>
      </c>
      <c r="D11" s="5"/>
      <c r="E11" s="5" t="s">
        <v>6</v>
      </c>
      <c r="F11" s="5"/>
      <c r="G11" s="5" t="s">
        <v>5</v>
      </c>
      <c r="H11" s="5"/>
      <c r="I11" s="5" t="s">
        <v>6</v>
      </c>
    </row>
    <row r="12" spans="3:9" s="4" customFormat="1" ht="12">
      <c r="C12" s="5" t="s">
        <v>7</v>
      </c>
      <c r="D12" s="5"/>
      <c r="E12" s="5" t="s">
        <v>8</v>
      </c>
      <c r="F12" s="5"/>
      <c r="G12" s="5" t="s">
        <v>7</v>
      </c>
      <c r="H12" s="5"/>
      <c r="I12" s="5" t="s">
        <v>8</v>
      </c>
    </row>
    <row r="13" spans="3:9" s="4" customFormat="1" ht="12">
      <c r="C13" s="5" t="s">
        <v>9</v>
      </c>
      <c r="D13" s="5"/>
      <c r="E13" s="5" t="s">
        <v>9</v>
      </c>
      <c r="F13" s="5"/>
      <c r="G13" s="5" t="s">
        <v>10</v>
      </c>
      <c r="H13" s="5"/>
      <c r="I13" s="5" t="s">
        <v>11</v>
      </c>
    </row>
    <row r="14" spans="3:9" s="4" customFormat="1" ht="12">
      <c r="C14" s="5" t="s">
        <v>12</v>
      </c>
      <c r="D14" s="5"/>
      <c r="E14" s="5" t="s">
        <v>13</v>
      </c>
      <c r="F14" s="5"/>
      <c r="G14" s="5" t="s">
        <v>12</v>
      </c>
      <c r="H14" s="5"/>
      <c r="I14" s="5" t="s">
        <v>13</v>
      </c>
    </row>
    <row r="15" spans="3:9" s="4" customFormat="1" ht="12">
      <c r="C15" s="5" t="s">
        <v>14</v>
      </c>
      <c r="D15" s="5"/>
      <c r="E15" s="5" t="s">
        <v>14</v>
      </c>
      <c r="F15" s="5"/>
      <c r="G15" s="5" t="s">
        <v>14</v>
      </c>
      <c r="H15" s="5"/>
      <c r="I15" s="5" t="s">
        <v>14</v>
      </c>
    </row>
    <row r="17" spans="1:9" ht="12.75">
      <c r="A17" t="s">
        <v>15</v>
      </c>
      <c r="C17" s="6">
        <f>'CIS-31Mar05'!B14</f>
        <v>5169</v>
      </c>
      <c r="D17" s="6"/>
      <c r="E17" s="7" t="str">
        <f>'CIS-31Mar05'!C14</f>
        <v>N/A</v>
      </c>
      <c r="G17" s="6">
        <f>'CIS-31Mar05'!E14</f>
        <v>5169</v>
      </c>
      <c r="H17" s="6"/>
      <c r="I17" s="7" t="str">
        <f>'CIS-31Mar05'!F14</f>
        <v>N/A</v>
      </c>
    </row>
    <row r="19" spans="1:9" ht="12.75" hidden="1">
      <c r="A19" t="s">
        <v>16</v>
      </c>
      <c r="C19" s="6">
        <f>'CIS-31Mar05'!B16+'CIS-31Mar05'!B20+'CIS-31Mar05'!B22</f>
        <v>-4810</v>
      </c>
      <c r="D19" s="6"/>
      <c r="E19" s="7" t="str">
        <f>'CIS-31Mar05'!C16</f>
        <v>N/A</v>
      </c>
      <c r="G19" s="6">
        <f>'CIS-31Mar05'!E16+'CIS-31Mar05'!E20+'CIS-31Mar05'!E22</f>
        <v>-4810</v>
      </c>
      <c r="H19" s="6"/>
      <c r="I19" s="7" t="str">
        <f>'CIS-31Mar05'!F16</f>
        <v>N/A</v>
      </c>
    </row>
    <row r="20" ht="12.75" hidden="1"/>
    <row r="21" spans="1:9" ht="12.75" hidden="1">
      <c r="A21" t="s">
        <v>17</v>
      </c>
      <c r="C21" s="6">
        <f>'CIS-31Mar05'!B18</f>
        <v>94</v>
      </c>
      <c r="D21" s="6"/>
      <c r="E21" s="7" t="str">
        <f>'CIS-31Mar05'!C18</f>
        <v>N/A</v>
      </c>
      <c r="G21" s="6">
        <f>'CIS-31Mar05'!E18</f>
        <v>94</v>
      </c>
      <c r="H21" s="6"/>
      <c r="I21" s="7" t="str">
        <f>'CIS-31Mar05'!F18</f>
        <v>N/A</v>
      </c>
    </row>
    <row r="22" spans="3:9" ht="12.75" hidden="1">
      <c r="C22" s="8"/>
      <c r="D22" s="8"/>
      <c r="E22" s="8"/>
      <c r="G22" s="8"/>
      <c r="H22" s="8"/>
      <c r="I22" s="8"/>
    </row>
    <row r="23" spans="1:9" ht="12.75" hidden="1">
      <c r="A23" t="s">
        <v>18</v>
      </c>
      <c r="C23">
        <f>SUM(C17:C21)</f>
        <v>453</v>
      </c>
      <c r="E23" s="7" t="str">
        <f>'CIS-31Mar05'!C20</f>
        <v>N/A</v>
      </c>
      <c r="G23">
        <f>SUM(G17:G21)</f>
        <v>453</v>
      </c>
      <c r="I23" s="7" t="str">
        <f>'CIS-31Mar05'!F20</f>
        <v>N/A</v>
      </c>
    </row>
    <row r="24" ht="12.75" hidden="1"/>
    <row r="25" spans="1:9" ht="12.75" hidden="1">
      <c r="A25" t="s">
        <v>19</v>
      </c>
      <c r="C25" s="11" t="str">
        <f>'CIS-31Mar05'!B28</f>
        <v>*</v>
      </c>
      <c r="D25" s="11"/>
      <c r="E25" s="7" t="str">
        <f>'CIS-31Mar05'!C22</f>
        <v>N/A</v>
      </c>
      <c r="G25" s="11" t="str">
        <f>'CIS-31Mar05'!E28</f>
        <v>*</v>
      </c>
      <c r="H25" s="11"/>
      <c r="I25" s="7" t="str">
        <f>'CIS-31Mar05'!F22</f>
        <v>N/A</v>
      </c>
    </row>
    <row r="26" ht="12.75" hidden="1"/>
    <row r="27" spans="1:9" ht="12.75" hidden="1">
      <c r="A27" t="s">
        <v>20</v>
      </c>
      <c r="C27" s="6">
        <f>'CIS-31Mar05'!B32</f>
        <v>-29</v>
      </c>
      <c r="D27" s="6"/>
      <c r="E27" s="7" t="str">
        <f>'CIS-31Mar05'!C24</f>
        <v>N/A</v>
      </c>
      <c r="G27" s="6">
        <f>'CIS-31Mar05'!E32</f>
        <v>-29</v>
      </c>
      <c r="H27" s="6"/>
      <c r="I27" s="7" t="str">
        <f>'CIS-31Mar05'!F24</f>
        <v>N/A</v>
      </c>
    </row>
    <row r="28" spans="1:9" ht="12.75" hidden="1">
      <c r="A28" t="s">
        <v>21</v>
      </c>
      <c r="C28" s="8"/>
      <c r="D28" s="8"/>
      <c r="E28" s="8"/>
      <c r="G28" s="8"/>
      <c r="H28" s="8"/>
      <c r="I28" s="8"/>
    </row>
    <row r="29" spans="1:9" ht="12.75">
      <c r="A29" t="s">
        <v>177</v>
      </c>
      <c r="C29" s="6">
        <f>SUM(C23:C27)</f>
        <v>424</v>
      </c>
      <c r="E29" s="7" t="str">
        <f>'CIS-31Mar05'!C26</f>
        <v>N/A</v>
      </c>
      <c r="G29" s="6">
        <f>SUM(G23:G27)</f>
        <v>424</v>
      </c>
      <c r="I29" s="7" t="str">
        <f>'CIS-31Mar05'!F26</f>
        <v>N/A</v>
      </c>
    </row>
    <row r="30" spans="3:7" ht="12" customHeight="1">
      <c r="C30" s="6"/>
      <c r="G30" s="6"/>
    </row>
    <row r="31" spans="1:9" ht="12.75">
      <c r="A31" t="s">
        <v>179</v>
      </c>
      <c r="C31" s="6">
        <v>290</v>
      </c>
      <c r="E31" s="7" t="str">
        <f>'CIS-31Mar05'!C28</f>
        <v>N/A</v>
      </c>
      <c r="G31" s="6">
        <v>290</v>
      </c>
      <c r="H31" s="6"/>
      <c r="I31" s="7" t="str">
        <f>'CIS-31Mar05'!F28</f>
        <v>N/A</v>
      </c>
    </row>
    <row r="32" spans="1:9" ht="12.75">
      <c r="A32" t="s">
        <v>178</v>
      </c>
      <c r="C32" s="6"/>
      <c r="D32" s="91"/>
      <c r="E32" s="91"/>
      <c r="G32" s="6"/>
      <c r="H32" s="91"/>
      <c r="I32" s="91"/>
    </row>
    <row r="33" spans="1:9" ht="12.75">
      <c r="A33" t="s">
        <v>24</v>
      </c>
      <c r="C33" s="6">
        <v>290</v>
      </c>
      <c r="E33" s="7" t="str">
        <f>'CIS-31Mar05'!C30</f>
        <v>N/A</v>
      </c>
      <c r="G33" s="6">
        <v>290</v>
      </c>
      <c r="I33" s="7" t="str">
        <f>'CIS-31Mar05'!F30</f>
        <v>N/A</v>
      </c>
    </row>
    <row r="35" spans="1:9" ht="12.75">
      <c r="A35" t="s">
        <v>25</v>
      </c>
      <c r="C35" s="9">
        <f>'CIS-31Mar05'!B44</f>
        <v>0.41054971190735734</v>
      </c>
      <c r="D35" s="9"/>
      <c r="E35" s="7" t="str">
        <f>'CIS-31Mar05'!C32</f>
        <v>N/A</v>
      </c>
      <c r="G35" s="10">
        <f>'CIS-31Mar05'!E44</f>
        <v>0.41054971190735734</v>
      </c>
      <c r="H35" s="10"/>
      <c r="I35" s="7" t="str">
        <f>'CIS-31Mar05'!F32</f>
        <v>N/A</v>
      </c>
    </row>
    <row r="37" spans="1:9" ht="12.75">
      <c r="A37" t="s">
        <v>26</v>
      </c>
      <c r="C37" s="11" t="s">
        <v>31</v>
      </c>
      <c r="D37" s="11"/>
      <c r="E37" s="7" t="str">
        <f>'CIS-31Mar05'!C34</f>
        <v>N/A</v>
      </c>
      <c r="G37" s="11" t="s">
        <v>31</v>
      </c>
      <c r="H37" s="11"/>
      <c r="I37" s="7" t="str">
        <f>'CIS-31Mar05'!F34</f>
        <v>N/A</v>
      </c>
    </row>
    <row r="38" spans="3:8" ht="12.75">
      <c r="C38" s="3"/>
      <c r="D38" s="3"/>
      <c r="G38" s="7"/>
      <c r="H38" s="7"/>
    </row>
    <row r="39" spans="1:9" ht="12.75">
      <c r="A39" t="s">
        <v>27</v>
      </c>
      <c r="C39" s="11" t="s">
        <v>31</v>
      </c>
      <c r="D39" s="11"/>
      <c r="E39" s="7" t="str">
        <f>'CIS-31Mar05'!C36</f>
        <v>N/A</v>
      </c>
      <c r="G39" s="11" t="s">
        <v>31</v>
      </c>
      <c r="H39" s="11"/>
      <c r="I39" s="7" t="str">
        <f>'CIS-31Mar05'!F36</f>
        <v>N/A</v>
      </c>
    </row>
    <row r="43" spans="7:9" s="2" customFormat="1" ht="12.75">
      <c r="G43" s="1" t="s">
        <v>180</v>
      </c>
      <c r="H43" s="1"/>
      <c r="I43" s="1" t="s">
        <v>181</v>
      </c>
    </row>
    <row r="44" spans="7:9" s="2" customFormat="1" ht="12.75">
      <c r="G44" s="1" t="s">
        <v>47</v>
      </c>
      <c r="H44" s="1"/>
      <c r="I44" s="1" t="s">
        <v>182</v>
      </c>
    </row>
    <row r="45" spans="7:9" s="2" customFormat="1" ht="12.75">
      <c r="G45" s="1"/>
      <c r="H45" s="1"/>
      <c r="I45" s="1" t="s">
        <v>183</v>
      </c>
    </row>
    <row r="48" spans="1:9" ht="12.75">
      <c r="A48" t="s">
        <v>185</v>
      </c>
      <c r="G48" s="92">
        <f>14.24/100</f>
        <v>0.1424</v>
      </c>
      <c r="H48" s="9"/>
      <c r="I48" s="92">
        <f>(6733-19-91)/415+0.01</f>
        <v>15.969036144578313</v>
      </c>
    </row>
    <row r="49" spans="7:9" ht="12.75">
      <c r="G49" s="92"/>
      <c r="H49" s="9"/>
      <c r="I49" s="92"/>
    </row>
    <row r="51" ht="12.75">
      <c r="A51" t="s">
        <v>40</v>
      </c>
    </row>
    <row r="52" ht="12.75">
      <c r="A52" t="s">
        <v>184</v>
      </c>
    </row>
    <row r="53" ht="12.75">
      <c r="A53" t="s">
        <v>186</v>
      </c>
    </row>
    <row r="54" ht="12.75">
      <c r="A54" t="s">
        <v>187</v>
      </c>
    </row>
    <row r="56" ht="12.75">
      <c r="A56" t="s">
        <v>210</v>
      </c>
    </row>
  </sheetData>
  <mergeCells count="7">
    <mergeCell ref="C10:E10"/>
    <mergeCell ref="G10:I10"/>
    <mergeCell ref="A1:I2"/>
    <mergeCell ref="A4:I4"/>
    <mergeCell ref="A6:I6"/>
    <mergeCell ref="A7:I7"/>
    <mergeCell ref="A3:I3"/>
  </mergeCells>
  <printOptions/>
  <pageMargins left="1" right="0" top="1" bottom="1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0"/>
  <sheetViews>
    <sheetView workbookViewId="0" topLeftCell="A42">
      <selection activeCell="A48" sqref="A48"/>
    </sheetView>
  </sheetViews>
  <sheetFormatPr defaultColWidth="9.140625" defaultRowHeight="12.75"/>
  <cols>
    <col min="1" max="1" width="35.7109375" style="0" customWidth="1"/>
    <col min="2" max="3" width="13.7109375" style="0" customWidth="1"/>
    <col min="4" max="4" width="5.00390625" style="0" customWidth="1"/>
    <col min="5" max="6" width="13.7109375" style="0" customWidth="1"/>
  </cols>
  <sheetData>
    <row r="1" spans="1:6" ht="15.75">
      <c r="A1" s="99" t="s">
        <v>28</v>
      </c>
      <c r="B1" s="99"/>
      <c r="C1" s="99"/>
      <c r="D1" s="99"/>
      <c r="E1" s="99"/>
      <c r="F1" s="99"/>
    </row>
    <row r="2" spans="1:6" ht="12.75">
      <c r="A2" s="101" t="s">
        <v>29</v>
      </c>
      <c r="B2" s="101"/>
      <c r="C2" s="101"/>
      <c r="D2" s="101"/>
      <c r="E2" s="101"/>
      <c r="F2" s="101"/>
    </row>
    <row r="3" spans="1:6" ht="15">
      <c r="A3" s="100" t="s">
        <v>2</v>
      </c>
      <c r="B3" s="100"/>
      <c r="C3" s="100"/>
      <c r="D3" s="100"/>
      <c r="E3" s="100"/>
      <c r="F3" s="100"/>
    </row>
    <row r="4" spans="1:6" ht="12.75">
      <c r="A4" s="98" t="s">
        <v>208</v>
      </c>
      <c r="B4" s="98"/>
      <c r="C4" s="98"/>
      <c r="D4" s="98"/>
      <c r="E4" s="98"/>
      <c r="F4" s="98"/>
    </row>
    <row r="5" spans="1:6" ht="12.75">
      <c r="A5" s="102" t="s">
        <v>30</v>
      </c>
      <c r="B5" s="102"/>
      <c r="C5" s="102"/>
      <c r="D5" s="102"/>
      <c r="E5" s="102"/>
      <c r="F5" s="102"/>
    </row>
    <row r="7" spans="2:7" ht="12.75">
      <c r="B7" s="98" t="s">
        <v>3</v>
      </c>
      <c r="C7" s="98"/>
      <c r="D7" s="2"/>
      <c r="E7" s="98" t="s">
        <v>4</v>
      </c>
      <c r="F7" s="98"/>
      <c r="G7" s="3"/>
    </row>
    <row r="8" spans="2:6" s="4" customFormat="1" ht="12">
      <c r="B8" s="5" t="s">
        <v>5</v>
      </c>
      <c r="C8" s="5" t="s">
        <v>6</v>
      </c>
      <c r="D8" s="5"/>
      <c r="E8" s="5" t="s">
        <v>5</v>
      </c>
      <c r="F8" s="5" t="s">
        <v>6</v>
      </c>
    </row>
    <row r="9" spans="2:6" s="4" customFormat="1" ht="12">
      <c r="B9" s="5" t="s">
        <v>7</v>
      </c>
      <c r="C9" s="5" t="s">
        <v>8</v>
      </c>
      <c r="D9" s="5"/>
      <c r="E9" s="5" t="s">
        <v>7</v>
      </c>
      <c r="F9" s="5" t="s">
        <v>8</v>
      </c>
    </row>
    <row r="10" spans="2:6" s="4" customFormat="1" ht="12">
      <c r="B10" s="5" t="s">
        <v>9</v>
      </c>
      <c r="C10" s="5" t="s">
        <v>9</v>
      </c>
      <c r="D10" s="5"/>
      <c r="E10" s="5" t="s">
        <v>10</v>
      </c>
      <c r="F10" s="5" t="s">
        <v>11</v>
      </c>
    </row>
    <row r="11" spans="2:6" s="4" customFormat="1" ht="12">
      <c r="B11" s="5" t="s">
        <v>12</v>
      </c>
      <c r="C11" s="5" t="s">
        <v>13</v>
      </c>
      <c r="D11" s="5"/>
      <c r="E11" s="5" t="s">
        <v>12</v>
      </c>
      <c r="F11" s="5" t="s">
        <v>13</v>
      </c>
    </row>
    <row r="12" spans="2:6" s="4" customFormat="1" ht="12">
      <c r="B12" s="5" t="s">
        <v>14</v>
      </c>
      <c r="C12" s="5" t="s">
        <v>14</v>
      </c>
      <c r="D12" s="5"/>
      <c r="E12" s="5" t="s">
        <v>14</v>
      </c>
      <c r="F12" s="5" t="s">
        <v>14</v>
      </c>
    </row>
    <row r="13" spans="3:6" ht="12.75">
      <c r="C13" s="7"/>
      <c r="F13" s="7"/>
    </row>
    <row r="14" spans="1:6" ht="12.75">
      <c r="A14" t="s">
        <v>15</v>
      </c>
      <c r="B14" s="12">
        <v>5169</v>
      </c>
      <c r="C14" s="13" t="s">
        <v>31</v>
      </c>
      <c r="E14" s="12">
        <v>5169</v>
      </c>
      <c r="F14" s="13" t="s">
        <v>31</v>
      </c>
    </row>
    <row r="15" spans="2:6" ht="12.75">
      <c r="B15" s="12"/>
      <c r="C15" s="7"/>
      <c r="E15" s="12"/>
      <c r="F15" s="7"/>
    </row>
    <row r="16" spans="1:6" ht="12.75">
      <c r="A16" t="s">
        <v>16</v>
      </c>
      <c r="B16" s="12">
        <f>-4810+6+63</f>
        <v>-4741</v>
      </c>
      <c r="C16" s="13" t="s">
        <v>31</v>
      </c>
      <c r="E16" s="12">
        <f>-4810+6+63</f>
        <v>-4741</v>
      </c>
      <c r="F16" s="13" t="s">
        <v>31</v>
      </c>
    </row>
    <row r="17" spans="2:6" ht="12.75">
      <c r="B17" s="12"/>
      <c r="C17" s="7"/>
      <c r="E17" s="12"/>
      <c r="F17" s="7"/>
    </row>
    <row r="18" spans="1:6" ht="12.75">
      <c r="A18" t="s">
        <v>17</v>
      </c>
      <c r="B18" s="12">
        <v>94</v>
      </c>
      <c r="C18" s="13" t="s">
        <v>31</v>
      </c>
      <c r="E18" s="12">
        <v>94</v>
      </c>
      <c r="F18" s="13" t="s">
        <v>31</v>
      </c>
    </row>
    <row r="19" spans="2:6" ht="12.75">
      <c r="B19" s="12"/>
      <c r="C19" s="7"/>
      <c r="E19" s="12"/>
      <c r="F19" s="7"/>
    </row>
    <row r="20" spans="1:6" ht="12.75">
      <c r="A20" t="s">
        <v>32</v>
      </c>
      <c r="B20" s="12">
        <v>-63</v>
      </c>
      <c r="C20" s="13" t="s">
        <v>31</v>
      </c>
      <c r="E20" s="12">
        <f>-63</f>
        <v>-63</v>
      </c>
      <c r="F20" s="13" t="s">
        <v>31</v>
      </c>
    </row>
    <row r="21" spans="2:6" ht="12.75">
      <c r="B21" s="12"/>
      <c r="C21" s="7"/>
      <c r="E21" s="12"/>
      <c r="F21" s="7"/>
    </row>
    <row r="22" spans="1:6" ht="12.75">
      <c r="A22" t="s">
        <v>33</v>
      </c>
      <c r="B22" s="12">
        <v>-6</v>
      </c>
      <c r="C22" s="13" t="s">
        <v>31</v>
      </c>
      <c r="E22" s="12">
        <v>-6</v>
      </c>
      <c r="F22" s="13" t="s">
        <v>31</v>
      </c>
    </row>
    <row r="23" spans="2:6" ht="12.75">
      <c r="B23" s="12"/>
      <c r="C23" s="13"/>
      <c r="E23" s="12"/>
      <c r="F23" s="13"/>
    </row>
    <row r="24" spans="1:6" ht="12.75">
      <c r="A24" t="s">
        <v>34</v>
      </c>
      <c r="B24" s="12">
        <v>0</v>
      </c>
      <c r="C24" s="13" t="s">
        <v>31</v>
      </c>
      <c r="E24" s="12">
        <v>0</v>
      </c>
      <c r="F24" s="13" t="s">
        <v>31</v>
      </c>
    </row>
    <row r="25" spans="2:6" ht="12.75">
      <c r="B25" s="14"/>
      <c r="C25" s="15"/>
      <c r="E25" s="14"/>
      <c r="F25" s="15"/>
    </row>
    <row r="26" spans="1:6" ht="12.75">
      <c r="A26" t="s">
        <v>18</v>
      </c>
      <c r="B26" s="12">
        <f>SUM(B14:B24)</f>
        <v>453</v>
      </c>
      <c r="C26" s="13" t="s">
        <v>31</v>
      </c>
      <c r="E26" s="12">
        <f>SUM(E14:E24)</f>
        <v>453</v>
      </c>
      <c r="F26" s="13" t="s">
        <v>31</v>
      </c>
    </row>
    <row r="27" spans="2:6" ht="12.75">
      <c r="B27" s="12"/>
      <c r="C27" s="7"/>
      <c r="E27" s="12"/>
      <c r="F27" s="7"/>
    </row>
    <row r="28" spans="1:6" ht="12.75">
      <c r="A28" t="s">
        <v>19</v>
      </c>
      <c r="B28" s="18" t="s">
        <v>139</v>
      </c>
      <c r="C28" s="13" t="s">
        <v>31</v>
      </c>
      <c r="E28" s="18" t="s">
        <v>139</v>
      </c>
      <c r="F28" s="13" t="s">
        <v>31</v>
      </c>
    </row>
    <row r="29" spans="2:6" ht="12.75">
      <c r="B29" s="12"/>
      <c r="C29" s="7"/>
      <c r="E29" s="12"/>
      <c r="F29" s="7"/>
    </row>
    <row r="30" spans="1:6" ht="12.75">
      <c r="A30" t="s">
        <v>35</v>
      </c>
      <c r="B30" s="12">
        <v>0</v>
      </c>
      <c r="C30" s="13" t="s">
        <v>31</v>
      </c>
      <c r="E30" s="12">
        <v>0</v>
      </c>
      <c r="F30" s="13" t="s">
        <v>31</v>
      </c>
    </row>
    <row r="31" spans="2:6" ht="12.75">
      <c r="B31" s="12"/>
      <c r="C31" s="7"/>
      <c r="E31" s="12"/>
      <c r="F31" s="7"/>
    </row>
    <row r="32" spans="1:6" ht="12.75">
      <c r="A32" t="s">
        <v>20</v>
      </c>
      <c r="B32" s="12">
        <v>-29</v>
      </c>
      <c r="C32" s="13" t="s">
        <v>31</v>
      </c>
      <c r="E32" s="12">
        <v>-29</v>
      </c>
      <c r="F32" s="13" t="s">
        <v>31</v>
      </c>
    </row>
    <row r="33" spans="1:6" ht="12.75">
      <c r="A33" t="s">
        <v>21</v>
      </c>
      <c r="B33" s="14"/>
      <c r="C33" s="15"/>
      <c r="E33" s="14"/>
      <c r="F33" s="15"/>
    </row>
    <row r="34" spans="1:6" ht="12.75">
      <c r="A34" t="s">
        <v>22</v>
      </c>
      <c r="B34" s="12">
        <f>SUM(B26:B32)</f>
        <v>424</v>
      </c>
      <c r="C34" s="13" t="s">
        <v>31</v>
      </c>
      <c r="E34" s="12">
        <f>SUM(E26:E32)</f>
        <v>424</v>
      </c>
      <c r="F34" s="13" t="s">
        <v>31</v>
      </c>
    </row>
    <row r="35" spans="2:6" ht="12.75">
      <c r="B35" s="12"/>
      <c r="C35" s="7"/>
      <c r="E35" s="12"/>
      <c r="F35" s="7"/>
    </row>
    <row r="36" spans="1:6" ht="12.75">
      <c r="A36" t="s">
        <v>23</v>
      </c>
      <c r="B36" s="12">
        <v>-134</v>
      </c>
      <c r="C36" s="13" t="s">
        <v>31</v>
      </c>
      <c r="E36" s="12">
        <v>-134</v>
      </c>
      <c r="F36" s="13" t="s">
        <v>31</v>
      </c>
    </row>
    <row r="37" spans="2:6" ht="12.75">
      <c r="B37" s="14"/>
      <c r="C37" s="15"/>
      <c r="E37" s="14"/>
      <c r="F37" s="15"/>
    </row>
    <row r="38" spans="1:6" ht="12.75">
      <c r="A38" t="s">
        <v>24</v>
      </c>
      <c r="B38" s="12">
        <f>SUM(B34:B36)</f>
        <v>290</v>
      </c>
      <c r="C38" s="13" t="s">
        <v>31</v>
      </c>
      <c r="E38" s="12">
        <f>SUM(E34:E36)</f>
        <v>290</v>
      </c>
      <c r="F38" s="13" t="s">
        <v>31</v>
      </c>
    </row>
    <row r="39" spans="2:6" ht="12.75">
      <c r="B39" s="12"/>
      <c r="C39" s="7"/>
      <c r="E39" s="12"/>
      <c r="F39" s="7"/>
    </row>
    <row r="40" spans="1:6" ht="12.75">
      <c r="A40" t="s">
        <v>36</v>
      </c>
      <c r="B40" s="12">
        <v>70637</v>
      </c>
      <c r="C40" s="13" t="s">
        <v>31</v>
      </c>
      <c r="E40" s="12">
        <v>70637</v>
      </c>
      <c r="F40" s="13" t="s">
        <v>31</v>
      </c>
    </row>
    <row r="41" spans="2:6" ht="12.75">
      <c r="B41" s="12"/>
      <c r="C41" s="7"/>
      <c r="E41" s="12"/>
      <c r="F41" s="7"/>
    </row>
    <row r="42" spans="1:6" ht="12.75">
      <c r="A42" t="s">
        <v>37</v>
      </c>
      <c r="B42" s="12"/>
      <c r="C42" s="7"/>
      <c r="E42" s="12"/>
      <c r="F42" s="7"/>
    </row>
    <row r="43" spans="2:6" ht="12.75">
      <c r="B43" s="12"/>
      <c r="C43" s="7"/>
      <c r="E43" s="12"/>
      <c r="F43" s="7"/>
    </row>
    <row r="44" spans="1:6" ht="12.75">
      <c r="A44" t="s">
        <v>38</v>
      </c>
      <c r="B44" s="16">
        <f>B38/B40*100</f>
        <v>0.41054971190735734</v>
      </c>
      <c r="C44" s="13" t="s">
        <v>31</v>
      </c>
      <c r="E44" s="16">
        <f>E38/E40*100</f>
        <v>0.41054971190735734</v>
      </c>
      <c r="F44" s="13" t="s">
        <v>31</v>
      </c>
    </row>
    <row r="45" spans="2:6" ht="12.75">
      <c r="B45" s="12"/>
      <c r="C45" s="7"/>
      <c r="E45" s="12"/>
      <c r="F45" s="7"/>
    </row>
    <row r="46" spans="1:6" ht="12.75">
      <c r="A46" t="s">
        <v>39</v>
      </c>
      <c r="B46" s="17" t="s">
        <v>31</v>
      </c>
      <c r="C46" s="13" t="s">
        <v>31</v>
      </c>
      <c r="E46" s="17" t="s">
        <v>31</v>
      </c>
      <c r="F46" s="13" t="s">
        <v>31</v>
      </c>
    </row>
    <row r="47" spans="2:6" ht="12.75">
      <c r="B47" s="12"/>
      <c r="C47" s="7"/>
      <c r="E47" s="12"/>
      <c r="F47" s="7"/>
    </row>
    <row r="48" spans="1:6" ht="12.75">
      <c r="A48" t="s">
        <v>27</v>
      </c>
      <c r="B48" s="18" t="s">
        <v>31</v>
      </c>
      <c r="C48" s="13" t="s">
        <v>31</v>
      </c>
      <c r="E48" s="17" t="s">
        <v>31</v>
      </c>
      <c r="F48" s="13" t="s">
        <v>31</v>
      </c>
    </row>
    <row r="49" spans="2:6" ht="12.75">
      <c r="B49" s="12"/>
      <c r="C49" s="7"/>
      <c r="F49" s="7"/>
    </row>
    <row r="50" spans="1:6" ht="12.75">
      <c r="A50" t="s">
        <v>175</v>
      </c>
      <c r="B50" s="12"/>
      <c r="C50" s="7"/>
      <c r="F50" s="7"/>
    </row>
    <row r="51" spans="2:6" ht="12.75">
      <c r="B51" s="12"/>
      <c r="C51" s="7"/>
      <c r="F51" s="7"/>
    </row>
    <row r="52" spans="3:6" ht="12.75">
      <c r="C52" s="7"/>
      <c r="F52" s="7"/>
    </row>
    <row r="53" spans="1:6" ht="12.75">
      <c r="A53" t="s">
        <v>40</v>
      </c>
      <c r="C53" s="7"/>
      <c r="F53" s="7"/>
    </row>
    <row r="54" spans="1:6" ht="12.75">
      <c r="A54" t="s">
        <v>41</v>
      </c>
      <c r="C54" s="7"/>
      <c r="F54" s="7"/>
    </row>
    <row r="55" spans="3:6" ht="12.75">
      <c r="C55" s="7"/>
      <c r="F55" s="7"/>
    </row>
    <row r="56" spans="1:6" ht="12.75">
      <c r="A56" t="s">
        <v>211</v>
      </c>
      <c r="C56" s="7"/>
      <c r="F56" s="7"/>
    </row>
    <row r="57" spans="1:6" ht="12.75">
      <c r="A57" t="s">
        <v>213</v>
      </c>
      <c r="C57" s="7"/>
      <c r="F57" s="7"/>
    </row>
    <row r="58" spans="3:6" ht="12.75">
      <c r="C58" s="7"/>
      <c r="F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  <row r="83" ht="12.75">
      <c r="C83" s="7"/>
    </row>
    <row r="84" ht="12.75">
      <c r="C84" s="7"/>
    </row>
    <row r="85" ht="12.75">
      <c r="C85" s="7"/>
    </row>
    <row r="86" ht="12.75">
      <c r="C86" s="7"/>
    </row>
    <row r="87" ht="12.75">
      <c r="C87" s="7"/>
    </row>
    <row r="88" ht="12.75">
      <c r="C88" s="7"/>
    </row>
    <row r="89" ht="12.75">
      <c r="C89" s="7"/>
    </row>
    <row r="90" ht="12.75">
      <c r="C90" s="7"/>
    </row>
    <row r="91" ht="12.75">
      <c r="C91" s="7"/>
    </row>
    <row r="92" ht="12.75">
      <c r="C92" s="7"/>
    </row>
    <row r="93" ht="12.75">
      <c r="C93" s="7"/>
    </row>
    <row r="94" ht="12.75">
      <c r="C94" s="7"/>
    </row>
    <row r="95" ht="12.75">
      <c r="C95" s="7"/>
    </row>
    <row r="96" ht="12.75">
      <c r="C96" s="7"/>
    </row>
    <row r="97" ht="12.75">
      <c r="C97" s="7"/>
    </row>
    <row r="98" ht="12.75">
      <c r="C98" s="7"/>
    </row>
    <row r="99" ht="12.75">
      <c r="C99" s="7"/>
    </row>
    <row r="100" ht="12.75">
      <c r="C100" s="7"/>
    </row>
    <row r="101" ht="12.75">
      <c r="C101" s="7"/>
    </row>
    <row r="102" ht="12.75">
      <c r="C102" s="7"/>
    </row>
    <row r="103" ht="12.75">
      <c r="C103" s="7"/>
    </row>
    <row r="104" ht="12.75">
      <c r="C104" s="7"/>
    </row>
    <row r="105" ht="12.75">
      <c r="C105" s="7"/>
    </row>
    <row r="106" ht="12.75">
      <c r="C106" s="7"/>
    </row>
    <row r="107" ht="12.75">
      <c r="C107" s="7"/>
    </row>
    <row r="108" ht="12.75">
      <c r="C108" s="7"/>
    </row>
    <row r="109" ht="12.75">
      <c r="C109" s="7"/>
    </row>
    <row r="110" ht="12.75">
      <c r="C110" s="7"/>
    </row>
    <row r="111" ht="12.75">
      <c r="C111" s="7"/>
    </row>
    <row r="112" ht="12.75">
      <c r="C112" s="7"/>
    </row>
    <row r="113" ht="12.75">
      <c r="C113" s="7"/>
    </row>
    <row r="114" ht="12.75">
      <c r="C114" s="7"/>
    </row>
    <row r="115" ht="12.75">
      <c r="C115" s="7"/>
    </row>
    <row r="116" ht="12.75">
      <c r="C116" s="7"/>
    </row>
    <row r="117" ht="12.75">
      <c r="C117" s="7"/>
    </row>
    <row r="118" ht="12.75">
      <c r="C118" s="7"/>
    </row>
    <row r="119" ht="12.75">
      <c r="C119" s="7"/>
    </row>
    <row r="120" ht="12.75">
      <c r="C120" s="7"/>
    </row>
    <row r="121" ht="12.75">
      <c r="C121" s="7"/>
    </row>
    <row r="122" ht="12.75">
      <c r="C122" s="7"/>
    </row>
    <row r="123" ht="12.75">
      <c r="C123" s="7"/>
    </row>
    <row r="124" ht="12.75">
      <c r="C124" s="7"/>
    </row>
    <row r="125" ht="12.75">
      <c r="C125" s="7"/>
    </row>
    <row r="126" ht="12.75">
      <c r="C126" s="7"/>
    </row>
    <row r="127" ht="12.75">
      <c r="C127" s="7"/>
    </row>
    <row r="128" ht="12.75">
      <c r="C128" s="7"/>
    </row>
    <row r="129" ht="12.75">
      <c r="C129" s="7"/>
    </row>
    <row r="130" ht="12.75">
      <c r="C130" s="7"/>
    </row>
    <row r="131" ht="12.75">
      <c r="C131" s="7"/>
    </row>
    <row r="132" ht="12.75">
      <c r="C132" s="7"/>
    </row>
    <row r="133" ht="12.75">
      <c r="C133" s="7"/>
    </row>
    <row r="134" ht="12.75">
      <c r="C134" s="7"/>
    </row>
    <row r="135" ht="12.75">
      <c r="C135" s="7"/>
    </row>
    <row r="136" ht="12.75">
      <c r="C136" s="7"/>
    </row>
    <row r="137" ht="12.75">
      <c r="C137" s="7"/>
    </row>
    <row r="138" ht="12.75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7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  <row r="151" ht="12.75">
      <c r="C151" s="7"/>
    </row>
    <row r="152" ht="12.75">
      <c r="C152" s="7"/>
    </row>
    <row r="153" ht="12.75">
      <c r="C153" s="7"/>
    </row>
    <row r="154" ht="12.75">
      <c r="C154" s="7"/>
    </row>
    <row r="155" ht="12.75">
      <c r="C155" s="7"/>
    </row>
    <row r="156" ht="12.75">
      <c r="C156" s="7"/>
    </row>
    <row r="157" ht="12.75">
      <c r="C157" s="7"/>
    </row>
    <row r="158" ht="12.75">
      <c r="C158" s="7"/>
    </row>
    <row r="159" ht="12.75">
      <c r="C159" s="7"/>
    </row>
    <row r="160" ht="12.75">
      <c r="C160" s="7"/>
    </row>
    <row r="161" ht="12.75">
      <c r="C161" s="7"/>
    </row>
    <row r="162" ht="12.75">
      <c r="C162" s="7"/>
    </row>
    <row r="163" ht="12.75">
      <c r="C163" s="7"/>
    </row>
    <row r="164" ht="12.75">
      <c r="C164" s="7"/>
    </row>
    <row r="165" ht="12.75">
      <c r="C165" s="7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  <row r="170" ht="12.75">
      <c r="C170" s="7"/>
    </row>
    <row r="171" ht="12.75">
      <c r="C171" s="7"/>
    </row>
    <row r="172" ht="12.75">
      <c r="C172" s="7"/>
    </row>
    <row r="173" ht="12.75">
      <c r="C173" s="7"/>
    </row>
    <row r="174" ht="12.75">
      <c r="C174" s="7"/>
    </row>
    <row r="175" ht="12.75">
      <c r="C175" s="7"/>
    </row>
    <row r="176" ht="12.75">
      <c r="C176" s="7"/>
    </row>
    <row r="177" ht="12.75">
      <c r="C177" s="7"/>
    </row>
    <row r="178" ht="12.75">
      <c r="C178" s="7"/>
    </row>
    <row r="179" ht="12.75">
      <c r="C179" s="7"/>
    </row>
    <row r="180" ht="12.75">
      <c r="C180" s="7"/>
    </row>
    <row r="181" ht="12.75">
      <c r="C181" s="7"/>
    </row>
    <row r="182" ht="12.75">
      <c r="C182" s="7"/>
    </row>
    <row r="183" ht="12.75">
      <c r="C183" s="7"/>
    </row>
    <row r="184" ht="12.75">
      <c r="C184" s="7"/>
    </row>
    <row r="185" ht="12.75">
      <c r="C185" s="7"/>
    </row>
    <row r="186" ht="12.75">
      <c r="C186" s="7"/>
    </row>
    <row r="187" ht="12.75">
      <c r="C187" s="7"/>
    </row>
    <row r="188" ht="12.75">
      <c r="C188" s="7"/>
    </row>
    <row r="189" ht="12.75">
      <c r="C189" s="7"/>
    </row>
    <row r="190" ht="12.75">
      <c r="C190" s="7"/>
    </row>
    <row r="191" ht="12.75">
      <c r="C191" s="7"/>
    </row>
    <row r="192" ht="12.75">
      <c r="C192" s="7"/>
    </row>
    <row r="193" ht="12.75">
      <c r="C193" s="7"/>
    </row>
    <row r="194" ht="12.75">
      <c r="C194" s="7"/>
    </row>
    <row r="195" ht="12.75">
      <c r="C195" s="7"/>
    </row>
    <row r="196" ht="12.75">
      <c r="C196" s="7"/>
    </row>
    <row r="197" ht="12.75">
      <c r="C197" s="7"/>
    </row>
    <row r="198" ht="12.75">
      <c r="C198" s="7"/>
    </row>
    <row r="199" ht="12.75">
      <c r="C199" s="7"/>
    </row>
    <row r="200" ht="12.75">
      <c r="C200" s="7"/>
    </row>
    <row r="201" ht="12.75">
      <c r="C201" s="7"/>
    </row>
    <row r="202" ht="12.75">
      <c r="C202" s="7"/>
    </row>
    <row r="203" ht="12.75">
      <c r="C203" s="7"/>
    </row>
    <row r="204" ht="12.75">
      <c r="C204" s="7"/>
    </row>
    <row r="205" ht="12.75">
      <c r="C205" s="7"/>
    </row>
    <row r="206" ht="12.75">
      <c r="C206" s="7"/>
    </row>
    <row r="207" ht="12.75">
      <c r="C207" s="7"/>
    </row>
    <row r="208" ht="12.75">
      <c r="C208" s="7"/>
    </row>
    <row r="209" ht="12.75">
      <c r="C209" s="7"/>
    </row>
    <row r="210" ht="12.75">
      <c r="C210" s="7"/>
    </row>
    <row r="211" ht="12.75">
      <c r="C211" s="7"/>
    </row>
    <row r="212" ht="12.75">
      <c r="C212" s="7"/>
    </row>
    <row r="213" ht="12.75">
      <c r="C213" s="7"/>
    </row>
    <row r="214" ht="12.75">
      <c r="C214" s="7"/>
    </row>
    <row r="215" ht="12.75">
      <c r="C215" s="7"/>
    </row>
    <row r="216" ht="12.75">
      <c r="C216" s="7"/>
    </row>
    <row r="217" ht="12.75">
      <c r="C217" s="7"/>
    </row>
    <row r="218" ht="12.75">
      <c r="C218" s="7"/>
    </row>
    <row r="219" ht="12.75">
      <c r="C219" s="7"/>
    </row>
    <row r="220" ht="12.75">
      <c r="C220" s="7"/>
    </row>
    <row r="221" ht="12.75">
      <c r="C221" s="7"/>
    </row>
    <row r="222" ht="12.75">
      <c r="C222" s="7"/>
    </row>
    <row r="223" ht="12.75">
      <c r="C223" s="7"/>
    </row>
    <row r="224" ht="12.75">
      <c r="C224" s="7"/>
    </row>
    <row r="225" ht="12.75">
      <c r="C225" s="7"/>
    </row>
    <row r="226" ht="12.75">
      <c r="C226" s="7"/>
    </row>
    <row r="227" ht="12.75">
      <c r="C227" s="7"/>
    </row>
    <row r="228" ht="12.75">
      <c r="C228" s="7"/>
    </row>
    <row r="229" ht="12.75">
      <c r="C229" s="7"/>
    </row>
    <row r="230" ht="12.75">
      <c r="C230" s="7"/>
    </row>
    <row r="231" ht="12.75">
      <c r="C231" s="7"/>
    </row>
    <row r="232" ht="12.75">
      <c r="C232" s="7"/>
    </row>
    <row r="233" ht="12.75">
      <c r="C233" s="7"/>
    </row>
    <row r="234" ht="12.75">
      <c r="C234" s="7"/>
    </row>
    <row r="235" ht="12.75">
      <c r="C235" s="7"/>
    </row>
    <row r="236" ht="12.75">
      <c r="C236" s="7"/>
    </row>
    <row r="237" ht="12.75">
      <c r="C237" s="7"/>
    </row>
    <row r="238" ht="12.75">
      <c r="C238" s="7"/>
    </row>
    <row r="239" ht="12.75">
      <c r="C239" s="7"/>
    </row>
    <row r="240" ht="12.75">
      <c r="C240" s="7"/>
    </row>
    <row r="241" ht="12.75">
      <c r="C241" s="7"/>
    </row>
    <row r="242" ht="12.75">
      <c r="C242" s="7"/>
    </row>
    <row r="243" ht="12.75">
      <c r="C243" s="7"/>
    </row>
    <row r="244" ht="12.75">
      <c r="C244" s="7"/>
    </row>
    <row r="245" ht="12.75">
      <c r="C245" s="7"/>
    </row>
    <row r="246" ht="12.75">
      <c r="C246" s="7"/>
    </row>
    <row r="247" ht="12.75">
      <c r="C247" s="7"/>
    </row>
    <row r="248" ht="12.75">
      <c r="C248" s="7"/>
    </row>
    <row r="249" ht="12.75">
      <c r="C249" s="7"/>
    </row>
    <row r="250" ht="12.75">
      <c r="C250" s="7"/>
    </row>
    <row r="251" ht="12.75">
      <c r="C251" s="7"/>
    </row>
    <row r="252" ht="12.75">
      <c r="C252" s="7"/>
    </row>
    <row r="253" ht="12.75">
      <c r="C253" s="7"/>
    </row>
    <row r="254" ht="12.75">
      <c r="C254" s="7"/>
    </row>
    <row r="255" ht="12.75">
      <c r="C255" s="7"/>
    </row>
    <row r="256" ht="12.75">
      <c r="C256" s="7"/>
    </row>
    <row r="257" ht="12.75">
      <c r="C257" s="7"/>
    </row>
    <row r="258" ht="12.75">
      <c r="C258" s="7"/>
    </row>
    <row r="259" ht="12.75">
      <c r="C259" s="7"/>
    </row>
    <row r="260" ht="12.75">
      <c r="C260" s="7"/>
    </row>
    <row r="261" ht="12.75">
      <c r="C261" s="7"/>
    </row>
    <row r="262" ht="12.75">
      <c r="C262" s="7"/>
    </row>
    <row r="263" ht="12.75">
      <c r="C263" s="7"/>
    </row>
    <row r="264" ht="12.75">
      <c r="C264" s="7"/>
    </row>
    <row r="265" ht="12.75">
      <c r="C265" s="7"/>
    </row>
    <row r="266" ht="12.75">
      <c r="C266" s="7"/>
    </row>
    <row r="267" ht="12.75">
      <c r="C267" s="7"/>
    </row>
    <row r="268" ht="12.75">
      <c r="C268" s="7"/>
    </row>
    <row r="269" ht="12.75">
      <c r="C269" s="7"/>
    </row>
    <row r="270" ht="12.75">
      <c r="C270" s="7"/>
    </row>
  </sheetData>
  <mergeCells count="7">
    <mergeCell ref="B7:C7"/>
    <mergeCell ref="E7:F7"/>
    <mergeCell ref="A1:F1"/>
    <mergeCell ref="A3:F3"/>
    <mergeCell ref="A4:F4"/>
    <mergeCell ref="A5:F5"/>
    <mergeCell ref="A2:F2"/>
  </mergeCells>
  <printOptions/>
  <pageMargins left="0.75" right="0.75" top="0.75" bottom="0.75" header="0.5" footer="0.5"/>
  <pageSetup fitToHeight="1" fitToWidth="1"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4"/>
  <sheetViews>
    <sheetView zoomScale="75" zoomScaleNormal="75" workbookViewId="0" topLeftCell="A41">
      <selection activeCell="E73" sqref="E73"/>
    </sheetView>
  </sheetViews>
  <sheetFormatPr defaultColWidth="9.140625" defaultRowHeight="12.75"/>
  <cols>
    <col min="1" max="1" width="0.71875" style="19" customWidth="1"/>
    <col min="2" max="2" width="3.7109375" style="19" customWidth="1"/>
    <col min="3" max="3" width="4.57421875" style="19" customWidth="1"/>
    <col min="4" max="4" width="8.00390625" style="19" customWidth="1"/>
    <col min="5" max="5" width="33.7109375" style="19" customWidth="1"/>
    <col min="6" max="7" width="0.85546875" style="19" customWidth="1"/>
    <col min="8" max="8" width="12.28125" style="19" customWidth="1"/>
    <col min="9" max="9" width="19.140625" style="24" customWidth="1"/>
    <col min="10" max="10" width="5.7109375" style="24" hidden="1" customWidth="1"/>
    <col min="11" max="11" width="14.7109375" style="24" hidden="1" customWidth="1"/>
    <col min="12" max="12" width="2.7109375" style="24" hidden="1" customWidth="1"/>
    <col min="13" max="13" width="15.421875" style="24" hidden="1" customWidth="1"/>
    <col min="14" max="14" width="2.7109375" style="24" hidden="1" customWidth="1"/>
    <col min="15" max="15" width="11.7109375" style="24" hidden="1" customWidth="1"/>
    <col min="16" max="16" width="2.7109375" style="24" hidden="1" customWidth="1"/>
    <col min="17" max="17" width="15.28125" style="25" hidden="1" customWidth="1"/>
    <col min="18" max="21" width="2.7109375" style="24" hidden="1" customWidth="1"/>
    <col min="22" max="23" width="12.8515625" style="19" hidden="1" customWidth="1"/>
    <col min="24" max="24" width="11.140625" style="24" hidden="1" customWidth="1"/>
    <col min="25" max="25" width="12.00390625" style="24" hidden="1" customWidth="1"/>
    <col min="26" max="26" width="4.7109375" style="24" hidden="1" customWidth="1"/>
    <col min="27" max="29" width="13.7109375" style="19" hidden="1" customWidth="1"/>
    <col min="30" max="31" width="14.421875" style="19" hidden="1" customWidth="1"/>
    <col min="32" max="32" width="12.421875" style="19" hidden="1" customWidth="1"/>
    <col min="33" max="33" width="5.7109375" style="19" hidden="1" customWidth="1"/>
    <col min="34" max="34" width="14.7109375" style="19" hidden="1" customWidth="1"/>
    <col min="35" max="35" width="2.7109375" style="19" hidden="1" customWidth="1"/>
    <col min="36" max="36" width="15.421875" style="19" hidden="1" customWidth="1"/>
    <col min="37" max="37" width="2.7109375" style="19" hidden="1" customWidth="1"/>
    <col min="38" max="38" width="2.140625" style="19" customWidth="1"/>
    <col min="39" max="16384" width="9.140625" style="19" customWidth="1"/>
  </cols>
  <sheetData>
    <row r="1" spans="1:26" ht="15.75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19"/>
      <c r="K1" s="19"/>
      <c r="L1" s="19"/>
      <c r="M1" s="19"/>
      <c r="N1" s="19"/>
      <c r="O1" s="19"/>
      <c r="P1" s="19"/>
      <c r="Q1" s="20"/>
      <c r="R1" s="19"/>
      <c r="S1" s="19"/>
      <c r="T1" s="19"/>
      <c r="U1" s="19"/>
      <c r="V1" s="21"/>
      <c r="W1" s="21"/>
      <c r="X1" s="19"/>
      <c r="Y1" s="19"/>
      <c r="Z1" s="19"/>
    </row>
    <row r="2" spans="2:26" ht="12.75">
      <c r="B2" s="104" t="s">
        <v>29</v>
      </c>
      <c r="C2" s="104"/>
      <c r="D2" s="104"/>
      <c r="E2" s="104"/>
      <c r="F2" s="104"/>
      <c r="G2" s="104"/>
      <c r="H2" s="104"/>
      <c r="I2" s="104"/>
      <c r="J2" s="19"/>
      <c r="K2" s="19"/>
      <c r="L2" s="19"/>
      <c r="M2" s="19"/>
      <c r="N2" s="19"/>
      <c r="O2" s="19"/>
      <c r="P2" s="19"/>
      <c r="Q2" s="20"/>
      <c r="R2" s="19"/>
      <c r="S2" s="19"/>
      <c r="T2" s="19"/>
      <c r="U2" s="19"/>
      <c r="V2" s="21"/>
      <c r="W2" s="21"/>
      <c r="X2" s="19"/>
      <c r="Y2" s="19"/>
      <c r="Z2" s="19"/>
    </row>
    <row r="3" spans="1:9" ht="12.75">
      <c r="A3" s="103" t="s">
        <v>209</v>
      </c>
      <c r="B3" s="103"/>
      <c r="C3" s="103"/>
      <c r="D3" s="103"/>
      <c r="E3" s="103"/>
      <c r="F3" s="103"/>
      <c r="G3" s="103"/>
      <c r="H3" s="103"/>
      <c r="I3" s="103"/>
    </row>
    <row r="4" spans="1:9" ht="12.75">
      <c r="A4" s="23"/>
      <c r="B4" s="23"/>
      <c r="C4" s="23"/>
      <c r="D4" s="23"/>
      <c r="E4" s="23"/>
      <c r="F4" s="23"/>
      <c r="G4" s="23"/>
      <c r="H4" s="23"/>
      <c r="I4" s="23"/>
    </row>
    <row r="5" spans="9:26" s="26" customFormat="1" ht="12.75">
      <c r="I5" s="29" t="s">
        <v>44</v>
      </c>
      <c r="J5" s="30"/>
      <c r="K5" s="30"/>
      <c r="L5" s="30"/>
      <c r="M5" s="30"/>
      <c r="N5" s="30"/>
      <c r="O5" s="30"/>
      <c r="P5" s="30"/>
      <c r="Q5" s="31"/>
      <c r="R5" s="30"/>
      <c r="S5" s="30"/>
      <c r="T5" s="30"/>
      <c r="U5" s="30"/>
      <c r="V5" s="28"/>
      <c r="W5" s="28"/>
      <c r="X5" s="32"/>
      <c r="Y5" s="32"/>
      <c r="Z5" s="32"/>
    </row>
    <row r="6" spans="9:26" s="26" customFormat="1" ht="12.75" customHeight="1">
      <c r="I6" s="29" t="s">
        <v>47</v>
      </c>
      <c r="J6" s="30"/>
      <c r="K6" s="1" t="s">
        <v>48</v>
      </c>
      <c r="M6" s="1" t="s">
        <v>49</v>
      </c>
      <c r="Q6" s="31"/>
      <c r="R6" s="30"/>
      <c r="S6" s="30"/>
      <c r="T6" s="30"/>
      <c r="U6" s="30"/>
      <c r="X6" s="32"/>
      <c r="Y6" s="32"/>
      <c r="Z6" s="32"/>
    </row>
    <row r="7" spans="9:26" s="26" customFormat="1" ht="12.75">
      <c r="I7" s="1" t="s">
        <v>12</v>
      </c>
      <c r="J7" s="33"/>
      <c r="K7" s="1" t="s">
        <v>53</v>
      </c>
      <c r="M7" s="1" t="s">
        <v>53</v>
      </c>
      <c r="Q7" s="34" t="s">
        <v>54</v>
      </c>
      <c r="R7" s="30"/>
      <c r="S7" s="30"/>
      <c r="T7" s="30"/>
      <c r="U7" s="30"/>
      <c r="V7" s="27" t="s">
        <v>52</v>
      </c>
      <c r="W7" s="27" t="s">
        <v>52</v>
      </c>
      <c r="X7" s="30" t="s">
        <v>55</v>
      </c>
      <c r="Y7" s="30" t="s">
        <v>56</v>
      </c>
      <c r="Z7" s="30"/>
    </row>
    <row r="8" spans="9:32" s="26" customFormat="1" ht="12.75">
      <c r="I8" s="35" t="s">
        <v>65</v>
      </c>
      <c r="J8" s="35"/>
      <c r="K8" s="35" t="s">
        <v>65</v>
      </c>
      <c r="L8" s="35"/>
      <c r="M8" s="35" t="s">
        <v>65</v>
      </c>
      <c r="N8" s="35"/>
      <c r="O8" s="35"/>
      <c r="P8" s="35"/>
      <c r="Q8" s="36" t="s">
        <v>65</v>
      </c>
      <c r="R8" s="33"/>
      <c r="S8" s="33"/>
      <c r="T8" s="33"/>
      <c r="U8" s="33"/>
      <c r="V8" s="27" t="s">
        <v>63</v>
      </c>
      <c r="W8" s="27" t="s">
        <v>64</v>
      </c>
      <c r="X8" s="32"/>
      <c r="Y8" s="30" t="s">
        <v>66</v>
      </c>
      <c r="Z8" s="30"/>
      <c r="AA8" s="2" t="s">
        <v>67</v>
      </c>
      <c r="AB8" s="2" t="s">
        <v>66</v>
      </c>
      <c r="AC8" s="2" t="s">
        <v>68</v>
      </c>
      <c r="AD8" s="1" t="s">
        <v>69</v>
      </c>
      <c r="AE8" s="1" t="s">
        <v>70</v>
      </c>
      <c r="AF8" s="37" t="s">
        <v>71</v>
      </c>
    </row>
    <row r="9" spans="2:32" s="26" customFormat="1" ht="12.75">
      <c r="B9" s="38" t="s">
        <v>72</v>
      </c>
      <c r="I9" s="32"/>
      <c r="J9" s="32"/>
      <c r="K9" s="32"/>
      <c r="L9" s="32"/>
      <c r="M9" s="32"/>
      <c r="N9" s="32"/>
      <c r="O9" s="32"/>
      <c r="P9" s="32"/>
      <c r="Q9" s="39"/>
      <c r="R9" s="32"/>
      <c r="S9" s="32"/>
      <c r="T9" s="32"/>
      <c r="U9" s="32"/>
      <c r="X9" s="32"/>
      <c r="Y9" s="32"/>
      <c r="Z9" s="32"/>
      <c r="AF9" s="40"/>
    </row>
    <row r="10" spans="2:32" s="26" customFormat="1" ht="12.75">
      <c r="B10" s="26" t="s">
        <v>73</v>
      </c>
      <c r="G10" s="32"/>
      <c r="H10" s="32"/>
      <c r="I10" s="32">
        <v>1253</v>
      </c>
      <c r="J10" s="32"/>
      <c r="K10" s="32">
        <v>474616</v>
      </c>
      <c r="L10" s="32"/>
      <c r="M10" s="32">
        <f>AF10</f>
        <v>644386</v>
      </c>
      <c r="N10" s="32"/>
      <c r="O10" s="32"/>
      <c r="P10" s="32"/>
      <c r="Q10" s="39">
        <f>I10-K10-M10-O10</f>
        <v>-1117749</v>
      </c>
      <c r="R10" s="32"/>
      <c r="S10" s="32"/>
      <c r="T10" s="32"/>
      <c r="U10" s="32"/>
      <c r="V10" s="32">
        <v>43243.9</v>
      </c>
      <c r="W10" s="32">
        <v>107654.87</v>
      </c>
      <c r="X10" s="32"/>
      <c r="Y10" s="32">
        <f>V10+W10+X10</f>
        <v>150898.77</v>
      </c>
      <c r="Z10" s="32"/>
      <c r="AA10" s="26">
        <v>491918</v>
      </c>
      <c r="AB10" s="26">
        <v>45248</v>
      </c>
      <c r="AC10" s="26">
        <v>107220</v>
      </c>
      <c r="AD10" s="26">
        <v>0</v>
      </c>
      <c r="AF10" s="40">
        <f>SUM(AA10:AE10)</f>
        <v>644386</v>
      </c>
    </row>
    <row r="11" spans="2:32" s="26" customFormat="1" ht="12.75" hidden="1">
      <c r="B11" s="26" t="s">
        <v>74</v>
      </c>
      <c r="G11" s="32"/>
      <c r="H11" s="32"/>
      <c r="I11" s="32" t="e">
        <f>SUM(#REF!)+#REF!-#REF!</f>
        <v>#REF!</v>
      </c>
      <c r="J11" s="32"/>
      <c r="K11" s="32"/>
      <c r="L11" s="32"/>
      <c r="M11" s="32">
        <f>AF11</f>
        <v>0</v>
      </c>
      <c r="N11" s="32"/>
      <c r="O11" s="32"/>
      <c r="P11" s="32"/>
      <c r="Q11" s="39" t="e">
        <f>I11-K11-M11-O11</f>
        <v>#REF!</v>
      </c>
      <c r="R11" s="32"/>
      <c r="S11" s="32"/>
      <c r="T11" s="32"/>
      <c r="U11" s="32"/>
      <c r="V11" s="32">
        <v>100000</v>
      </c>
      <c r="W11" s="32"/>
      <c r="X11" s="32">
        <f>-V11</f>
        <v>-100000</v>
      </c>
      <c r="Y11" s="32">
        <f>V11+W11+X11</f>
        <v>0</v>
      </c>
      <c r="Z11" s="32"/>
      <c r="AA11" s="26">
        <v>0</v>
      </c>
      <c r="AB11" s="26">
        <v>100000</v>
      </c>
      <c r="AD11" s="26">
        <v>0</v>
      </c>
      <c r="AE11" s="26">
        <v>-100000</v>
      </c>
      <c r="AF11" s="40">
        <f>SUM(AA11:AE11)</f>
        <v>0</v>
      </c>
    </row>
    <row r="12" spans="2:32" s="26" customFormat="1" ht="12.75">
      <c r="B12" s="26" t="s">
        <v>75</v>
      </c>
      <c r="G12" s="32"/>
      <c r="H12" s="32"/>
      <c r="I12" s="32">
        <v>6</v>
      </c>
      <c r="J12" s="32"/>
      <c r="K12" s="32">
        <v>2546</v>
      </c>
      <c r="L12" s="32"/>
      <c r="M12" s="32">
        <f>AF12</f>
        <v>0</v>
      </c>
      <c r="N12" s="32"/>
      <c r="O12" s="32"/>
      <c r="P12" s="32"/>
      <c r="Q12" s="39">
        <f>I12-K12-M12-O12</f>
        <v>-2540</v>
      </c>
      <c r="R12" s="32"/>
      <c r="S12" s="32"/>
      <c r="T12" s="32"/>
      <c r="U12" s="32"/>
      <c r="V12" s="32"/>
      <c r="W12" s="32"/>
      <c r="X12" s="32"/>
      <c r="Y12" s="32">
        <f>V12+W12+X12</f>
        <v>0</v>
      </c>
      <c r="Z12" s="32"/>
      <c r="AA12" s="26">
        <v>0</v>
      </c>
      <c r="AB12" s="26">
        <v>0</v>
      </c>
      <c r="AD12" s="26">
        <v>0</v>
      </c>
      <c r="AF12" s="40">
        <f>SUM(AA12:AE12)</f>
        <v>0</v>
      </c>
    </row>
    <row r="13" spans="2:32" s="26" customFormat="1" ht="12.75">
      <c r="B13" s="26" t="s">
        <v>76</v>
      </c>
      <c r="G13" s="32"/>
      <c r="H13" s="32"/>
      <c r="I13" s="32">
        <v>26</v>
      </c>
      <c r="J13" s="32"/>
      <c r="K13" s="32">
        <v>19127</v>
      </c>
      <c r="L13" s="32"/>
      <c r="M13" s="32">
        <f>AF13</f>
        <v>0</v>
      </c>
      <c r="N13" s="32"/>
      <c r="O13" s="32"/>
      <c r="P13" s="32"/>
      <c r="Q13" s="39">
        <f>I13-K13-M13-O13</f>
        <v>-19101</v>
      </c>
      <c r="R13" s="32"/>
      <c r="S13" s="32"/>
      <c r="T13" s="32"/>
      <c r="U13" s="32"/>
      <c r="V13" s="32"/>
      <c r="W13" s="32"/>
      <c r="X13" s="32"/>
      <c r="Y13" s="32">
        <f>V13+W13+X13</f>
        <v>0</v>
      </c>
      <c r="Z13" s="32"/>
      <c r="AA13" s="26">
        <v>0</v>
      </c>
      <c r="AB13" s="26">
        <v>0</v>
      </c>
      <c r="AD13" s="26">
        <v>0</v>
      </c>
      <c r="AF13" s="40">
        <f>SUM(AA13:AE13)</f>
        <v>0</v>
      </c>
    </row>
    <row r="14" spans="2:32" s="26" customFormat="1" ht="12.75">
      <c r="B14" s="26" t="s">
        <v>77</v>
      </c>
      <c r="G14" s="32"/>
      <c r="H14" s="32"/>
      <c r="I14" s="32">
        <v>192</v>
      </c>
      <c r="J14" s="32"/>
      <c r="K14" s="32">
        <v>91370</v>
      </c>
      <c r="L14" s="32"/>
      <c r="M14" s="32">
        <f>AF14</f>
        <v>0</v>
      </c>
      <c r="N14" s="32"/>
      <c r="O14" s="32"/>
      <c r="P14" s="32"/>
      <c r="Q14" s="39">
        <f>I14-K14-M14-O14</f>
        <v>-91178</v>
      </c>
      <c r="R14" s="32"/>
      <c r="S14" s="32"/>
      <c r="T14" s="32"/>
      <c r="U14" s="32"/>
      <c r="V14" s="41"/>
      <c r="W14" s="41"/>
      <c r="X14" s="32"/>
      <c r="Y14" s="32">
        <f>V14+W14+X14</f>
        <v>0</v>
      </c>
      <c r="Z14" s="32"/>
      <c r="AA14" s="26">
        <v>0</v>
      </c>
      <c r="AB14" s="26">
        <v>0</v>
      </c>
      <c r="AD14" s="26">
        <v>0</v>
      </c>
      <c r="AF14" s="40">
        <f>SUM(AA14:AE14)</f>
        <v>0</v>
      </c>
    </row>
    <row r="15" spans="7:32" s="26" customFormat="1" ht="12.75">
      <c r="G15" s="32"/>
      <c r="H15" s="32"/>
      <c r="I15" s="43">
        <f>I10+I12+I13+I14</f>
        <v>1477</v>
      </c>
      <c r="J15" s="42"/>
      <c r="K15" s="43">
        <f>SUM(K10:K14)</f>
        <v>587659</v>
      </c>
      <c r="L15" s="42"/>
      <c r="M15" s="43">
        <f>SUM(M10:M14)</f>
        <v>644386</v>
      </c>
      <c r="N15" s="42"/>
      <c r="O15" s="42"/>
      <c r="P15" s="42"/>
      <c r="Q15" s="44" t="e">
        <f>SUM(Q10:Q14)</f>
        <v>#REF!</v>
      </c>
      <c r="R15" s="42"/>
      <c r="S15" s="42"/>
      <c r="T15" s="42"/>
      <c r="U15" s="42"/>
      <c r="V15" s="32">
        <f>SUM(V10:V14)</f>
        <v>143243.9</v>
      </c>
      <c r="W15" s="32">
        <f>SUM(W10:W14)</f>
        <v>107654.87</v>
      </c>
      <c r="X15" s="32"/>
      <c r="Y15" s="32">
        <f>SUM(Y10:Y14)</f>
        <v>150898.77</v>
      </c>
      <c r="Z15" s="32"/>
      <c r="AA15" s="43">
        <f aca="true" t="shared" si="0" ref="AA15:AF15">SUM(AA10:AA14)</f>
        <v>491918</v>
      </c>
      <c r="AB15" s="43">
        <f t="shared" si="0"/>
        <v>145248</v>
      </c>
      <c r="AC15" s="43">
        <f t="shared" si="0"/>
        <v>107220</v>
      </c>
      <c r="AD15" s="43">
        <f t="shared" si="0"/>
        <v>0</v>
      </c>
      <c r="AE15" s="43">
        <f t="shared" si="0"/>
        <v>-100000</v>
      </c>
      <c r="AF15" s="43">
        <f t="shared" si="0"/>
        <v>644386</v>
      </c>
    </row>
    <row r="16" spans="7:32" s="26" customFormat="1" ht="12.75"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/>
      <c r="R16" s="32"/>
      <c r="S16" s="32"/>
      <c r="T16" s="32"/>
      <c r="U16" s="32"/>
      <c r="V16" s="32"/>
      <c r="W16" s="32"/>
      <c r="X16" s="32"/>
      <c r="Y16" s="32"/>
      <c r="Z16" s="32"/>
      <c r="AF16" s="40"/>
    </row>
    <row r="17" spans="2:32" s="26" customFormat="1" ht="12.75">
      <c r="B17" s="38" t="s">
        <v>78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/>
      <c r="R17" s="32"/>
      <c r="S17" s="32"/>
      <c r="T17" s="32"/>
      <c r="U17" s="32"/>
      <c r="V17" s="42"/>
      <c r="W17" s="42"/>
      <c r="X17" s="32"/>
      <c r="Y17" s="32"/>
      <c r="Z17" s="32"/>
      <c r="AF17" s="40"/>
    </row>
    <row r="18" spans="2:32" s="26" customFormat="1" ht="12.75">
      <c r="B18" s="26" t="s">
        <v>79</v>
      </c>
      <c r="G18" s="42"/>
      <c r="H18" s="42"/>
      <c r="I18" s="45">
        <v>2435</v>
      </c>
      <c r="J18" s="45"/>
      <c r="K18" s="45">
        <v>1944848</v>
      </c>
      <c r="L18" s="45"/>
      <c r="M18" s="32">
        <f aca="true" t="shared" si="1" ref="M18:M27">AF18</f>
        <v>407691</v>
      </c>
      <c r="N18" s="42"/>
      <c r="O18" s="42"/>
      <c r="P18" s="42"/>
      <c r="Q18" s="46">
        <f aca="true" t="shared" si="2" ref="Q18:Q27">I18-K18-M18-O18</f>
        <v>-2350104</v>
      </c>
      <c r="R18" s="45"/>
      <c r="S18" s="45"/>
      <c r="T18" s="45"/>
      <c r="U18" s="45"/>
      <c r="V18" s="45"/>
      <c r="W18" s="45"/>
      <c r="X18" s="32"/>
      <c r="Y18" s="45">
        <f>V18+W18+X18</f>
        <v>0</v>
      </c>
      <c r="Z18" s="42"/>
      <c r="AA18" s="26">
        <v>407691</v>
      </c>
      <c r="AB18" s="26">
        <v>0</v>
      </c>
      <c r="AC18" s="26">
        <v>0</v>
      </c>
      <c r="AD18" s="47">
        <v>0</v>
      </c>
      <c r="AE18" s="47"/>
      <c r="AF18" s="40">
        <f aca="true" t="shared" si="3" ref="AF18:AF27">SUM(AA18:AE18)</f>
        <v>407691</v>
      </c>
    </row>
    <row r="19" spans="2:32" s="26" customFormat="1" ht="12.75">
      <c r="B19" s="26" t="s">
        <v>80</v>
      </c>
      <c r="G19" s="42"/>
      <c r="H19" s="42"/>
      <c r="I19" s="48">
        <v>11581</v>
      </c>
      <c r="J19" s="48"/>
      <c r="K19" s="48">
        <f>72500+2283922-24992.33-27801.4-2800-10000</f>
        <v>2290828.27</v>
      </c>
      <c r="L19" s="48"/>
      <c r="M19" s="32">
        <f t="shared" si="1"/>
        <v>7726716.859999999</v>
      </c>
      <c r="N19" s="42"/>
      <c r="O19" s="42"/>
      <c r="P19" s="42"/>
      <c r="Q19" s="49">
        <f t="shared" si="2"/>
        <v>-10005964.129999999</v>
      </c>
      <c r="R19" s="48"/>
      <c r="S19" s="48"/>
      <c r="T19" s="48"/>
      <c r="U19" s="48"/>
      <c r="V19" s="48">
        <v>1549315.02</v>
      </c>
      <c r="W19" s="48">
        <v>1184726.51</v>
      </c>
      <c r="X19" s="32"/>
      <c r="Y19" s="48">
        <f>V19+W19+X19</f>
        <v>2734041.5300000003</v>
      </c>
      <c r="Z19" s="42"/>
      <c r="AA19" s="26">
        <f>5771141-166580</f>
        <v>5604561</v>
      </c>
      <c r="AB19" s="50">
        <f>1775335-697219.14</f>
        <v>1078115.8599999999</v>
      </c>
      <c r="AC19" s="26">
        <f>1034810-47260</f>
        <v>987550</v>
      </c>
      <c r="AD19" s="47">
        <v>56490</v>
      </c>
      <c r="AE19" s="47"/>
      <c r="AF19" s="40">
        <f t="shared" si="3"/>
        <v>7726716.859999999</v>
      </c>
    </row>
    <row r="20" spans="2:32" s="26" customFormat="1" ht="12.75">
      <c r="B20" s="26" t="s">
        <v>81</v>
      </c>
      <c r="G20" s="42"/>
      <c r="H20" s="42"/>
      <c r="I20" s="48">
        <v>579</v>
      </c>
      <c r="J20" s="48"/>
      <c r="K20" s="48">
        <v>459791</v>
      </c>
      <c r="L20" s="48"/>
      <c r="M20" s="32">
        <f t="shared" si="1"/>
        <v>167912.27000000002</v>
      </c>
      <c r="N20" s="42"/>
      <c r="O20" s="42"/>
      <c r="P20" s="42"/>
      <c r="Q20" s="49">
        <f t="shared" si="2"/>
        <v>-627124.27</v>
      </c>
      <c r="R20" s="48"/>
      <c r="S20" s="48"/>
      <c r="T20" s="48"/>
      <c r="U20" s="48"/>
      <c r="V20" s="48">
        <f>12236.23+4400+4310.26</f>
        <v>20946.489999999998</v>
      </c>
      <c r="W20" s="48">
        <f>4500+10261</f>
        <v>14761</v>
      </c>
      <c r="X20" s="32"/>
      <c r="Y20" s="48">
        <f>V20+W20+X20</f>
        <v>35707.49</v>
      </c>
      <c r="Z20" s="42"/>
      <c r="AA20" s="50">
        <f>40444+73495+5493+8921+2399+5727+1-7275.73</f>
        <v>129204.27</v>
      </c>
      <c r="AB20" s="26">
        <f>14200+4400+1500+4310</f>
        <v>24410</v>
      </c>
      <c r="AC20" s="26">
        <f>3800+10261</f>
        <v>14061</v>
      </c>
      <c r="AD20" s="26">
        <f>237</f>
        <v>237</v>
      </c>
      <c r="AF20" s="40">
        <f t="shared" si="3"/>
        <v>167912.27000000002</v>
      </c>
    </row>
    <row r="21" spans="2:32" s="26" customFormat="1" ht="12.75" hidden="1">
      <c r="B21" s="26" t="s">
        <v>82</v>
      </c>
      <c r="G21" s="42"/>
      <c r="H21" s="42"/>
      <c r="I21" s="48" t="e">
        <f>SUM(#REF!)+#REF!-#REF!</f>
        <v>#REF!</v>
      </c>
      <c r="J21" s="48"/>
      <c r="K21" s="48">
        <v>0</v>
      </c>
      <c r="L21" s="48"/>
      <c r="M21" s="32">
        <f t="shared" si="1"/>
        <v>100000</v>
      </c>
      <c r="N21" s="42"/>
      <c r="O21" s="42">
        <v>-100000</v>
      </c>
      <c r="P21" s="42"/>
      <c r="Q21" s="49" t="e">
        <f t="shared" si="2"/>
        <v>#REF!</v>
      </c>
      <c r="R21" s="48"/>
      <c r="S21" s="48"/>
      <c r="T21" s="48"/>
      <c r="U21" s="48"/>
      <c r="V21" s="48">
        <v>0</v>
      </c>
      <c r="W21" s="48">
        <v>100000</v>
      </c>
      <c r="X21" s="32"/>
      <c r="Y21" s="48">
        <f>V21+W21+X21</f>
        <v>100000</v>
      </c>
      <c r="Z21" s="42"/>
      <c r="AA21" s="26">
        <v>0</v>
      </c>
      <c r="AB21" s="26">
        <v>0</v>
      </c>
      <c r="AC21" s="26">
        <v>100000</v>
      </c>
      <c r="AD21" s="47">
        <v>0</v>
      </c>
      <c r="AE21" s="47"/>
      <c r="AF21" s="40">
        <f t="shared" si="3"/>
        <v>100000</v>
      </c>
    </row>
    <row r="22" spans="2:32" s="26" customFormat="1" ht="12.75" hidden="1">
      <c r="B22" s="26" t="s">
        <v>83</v>
      </c>
      <c r="G22" s="42"/>
      <c r="H22" s="42"/>
      <c r="I22" s="48" t="e">
        <f>SUM(#REF!)+#REF!-#REF!</f>
        <v>#REF!</v>
      </c>
      <c r="J22" s="48"/>
      <c r="K22" s="48">
        <f>24992.33+27801.4+2800+10000</f>
        <v>65593.73000000001</v>
      </c>
      <c r="L22" s="48"/>
      <c r="M22" s="32">
        <f t="shared" si="1"/>
        <v>1019332.87</v>
      </c>
      <c r="N22" s="42"/>
      <c r="O22" s="42">
        <v>-1084927</v>
      </c>
      <c r="P22" s="42"/>
      <c r="Q22" s="49" t="e">
        <f t="shared" si="2"/>
        <v>#REF!</v>
      </c>
      <c r="R22" s="48"/>
      <c r="S22" s="48"/>
      <c r="T22" s="48"/>
      <c r="U22" s="48"/>
      <c r="V22" s="48">
        <v>620594.14</v>
      </c>
      <c r="W22" s="48"/>
      <c r="X22" s="32"/>
      <c r="Y22" s="48">
        <f>V22+W22+X22</f>
        <v>620594.14</v>
      </c>
      <c r="Z22" s="42"/>
      <c r="AA22" s="50">
        <f>166580+7275.73</f>
        <v>173855.73</v>
      </c>
      <c r="AB22" s="50">
        <f>697219.14</f>
        <v>697219.14</v>
      </c>
      <c r="AC22" s="26">
        <f>47260</f>
        <v>47260</v>
      </c>
      <c r="AD22" s="47">
        <v>100998</v>
      </c>
      <c r="AE22" s="47"/>
      <c r="AF22" s="40">
        <f t="shared" si="3"/>
        <v>1019332.87</v>
      </c>
    </row>
    <row r="23" spans="2:32" s="26" customFormat="1" ht="12.75" hidden="1">
      <c r="B23" s="26" t="s">
        <v>84</v>
      </c>
      <c r="G23" s="42"/>
      <c r="H23" s="42"/>
      <c r="I23" s="48" t="e">
        <f>SUM(#REF!)+#REF!-#REF!</f>
        <v>#REF!</v>
      </c>
      <c r="J23" s="48"/>
      <c r="K23" s="48">
        <v>186805</v>
      </c>
      <c r="L23" s="48"/>
      <c r="M23" s="32">
        <f t="shared" si="1"/>
        <v>0</v>
      </c>
      <c r="N23" s="42"/>
      <c r="O23" s="42">
        <v>-186805</v>
      </c>
      <c r="P23" s="42"/>
      <c r="Q23" s="49" t="e">
        <f t="shared" si="2"/>
        <v>#REF!</v>
      </c>
      <c r="R23" s="48"/>
      <c r="S23" s="48"/>
      <c r="T23" s="48"/>
      <c r="U23" s="48"/>
      <c r="V23" s="48"/>
      <c r="W23" s="48"/>
      <c r="X23" s="32"/>
      <c r="Y23" s="48"/>
      <c r="Z23" s="42"/>
      <c r="AA23" s="26">
        <v>0</v>
      </c>
      <c r="AB23" s="26">
        <v>0</v>
      </c>
      <c r="AC23" s="26">
        <v>0</v>
      </c>
      <c r="AD23" s="47">
        <v>0</v>
      </c>
      <c r="AE23" s="47"/>
      <c r="AF23" s="40">
        <f t="shared" si="3"/>
        <v>0</v>
      </c>
    </row>
    <row r="24" spans="2:32" s="26" customFormat="1" ht="12.75">
      <c r="B24" s="26" t="s">
        <v>85</v>
      </c>
      <c r="G24" s="42"/>
      <c r="H24" s="42"/>
      <c r="I24" s="48">
        <v>20</v>
      </c>
      <c r="J24" s="48"/>
      <c r="K24" s="48">
        <v>20167</v>
      </c>
      <c r="L24" s="48"/>
      <c r="M24" s="32">
        <f t="shared" si="1"/>
        <v>0</v>
      </c>
      <c r="N24" s="42"/>
      <c r="O24" s="42"/>
      <c r="P24" s="42"/>
      <c r="Q24" s="49">
        <f t="shared" si="2"/>
        <v>-20147</v>
      </c>
      <c r="R24" s="48"/>
      <c r="S24" s="48"/>
      <c r="T24" s="48"/>
      <c r="U24" s="48"/>
      <c r="V24" s="48"/>
      <c r="W24" s="48"/>
      <c r="X24" s="32"/>
      <c r="Y24" s="48">
        <f>V24+W24+X24</f>
        <v>0</v>
      </c>
      <c r="Z24" s="42"/>
      <c r="AA24" s="26">
        <v>0</v>
      </c>
      <c r="AB24" s="26">
        <v>0</v>
      </c>
      <c r="AC24" s="26">
        <v>0</v>
      </c>
      <c r="AD24" s="47">
        <v>0</v>
      </c>
      <c r="AE24" s="47"/>
      <c r="AF24" s="40">
        <f t="shared" si="3"/>
        <v>0</v>
      </c>
    </row>
    <row r="25" spans="2:32" s="26" customFormat="1" ht="12.75">
      <c r="B25" s="26" t="s">
        <v>86</v>
      </c>
      <c r="G25" s="32"/>
      <c r="H25" s="32"/>
      <c r="I25" s="48">
        <v>575</v>
      </c>
      <c r="J25" s="48"/>
      <c r="K25" s="48">
        <v>411505</v>
      </c>
      <c r="L25" s="48"/>
      <c r="M25" s="32">
        <f t="shared" si="1"/>
        <v>0</v>
      </c>
      <c r="N25" s="42"/>
      <c r="O25" s="42"/>
      <c r="P25" s="42"/>
      <c r="Q25" s="49">
        <f t="shared" si="2"/>
        <v>-410930</v>
      </c>
      <c r="R25" s="48"/>
      <c r="S25" s="48"/>
      <c r="T25" s="48"/>
      <c r="U25" s="48"/>
      <c r="V25" s="48"/>
      <c r="W25" s="48"/>
      <c r="X25" s="32"/>
      <c r="Y25" s="48">
        <f>V25+W25+X25</f>
        <v>0</v>
      </c>
      <c r="Z25" s="42"/>
      <c r="AA25" s="26">
        <v>0</v>
      </c>
      <c r="AB25" s="26">
        <v>0</v>
      </c>
      <c r="AC25" s="26">
        <v>0</v>
      </c>
      <c r="AD25" s="47">
        <v>0</v>
      </c>
      <c r="AE25" s="47"/>
      <c r="AF25" s="40">
        <f t="shared" si="3"/>
        <v>0</v>
      </c>
    </row>
    <row r="26" spans="2:32" s="26" customFormat="1" ht="12.75">
      <c r="B26" s="26" t="s">
        <v>87</v>
      </c>
      <c r="G26" s="42"/>
      <c r="H26" s="42"/>
      <c r="I26" s="48">
        <v>2158</v>
      </c>
      <c r="J26" s="48"/>
      <c r="K26" s="48">
        <v>3317880</v>
      </c>
      <c r="L26" s="48"/>
      <c r="M26" s="32">
        <f t="shared" si="1"/>
        <v>250000</v>
      </c>
      <c r="N26" s="42"/>
      <c r="O26" s="42"/>
      <c r="P26" s="42"/>
      <c r="Q26" s="49">
        <f t="shared" si="2"/>
        <v>-3565722</v>
      </c>
      <c r="R26" s="48"/>
      <c r="S26" s="48"/>
      <c r="T26" s="48"/>
      <c r="U26" s="48"/>
      <c r="V26" s="48"/>
      <c r="W26" s="48"/>
      <c r="X26" s="32"/>
      <c r="Y26" s="48">
        <f>V26+W26+X26</f>
        <v>0</v>
      </c>
      <c r="Z26" s="42"/>
      <c r="AA26" s="26">
        <v>250000</v>
      </c>
      <c r="AB26" s="26">
        <v>0</v>
      </c>
      <c r="AC26" s="26">
        <v>0</v>
      </c>
      <c r="AD26" s="47">
        <v>0</v>
      </c>
      <c r="AE26" s="47"/>
      <c r="AF26" s="40">
        <f t="shared" si="3"/>
        <v>250000</v>
      </c>
    </row>
    <row r="27" spans="2:32" s="26" customFormat="1" ht="12.75">
      <c r="B27" s="26" t="s">
        <v>88</v>
      </c>
      <c r="G27" s="42"/>
      <c r="H27" s="42"/>
      <c r="I27" s="48">
        <v>298</v>
      </c>
      <c r="J27" s="48"/>
      <c r="K27" s="48">
        <v>209629</v>
      </c>
      <c r="L27" s="48"/>
      <c r="M27" s="32">
        <f t="shared" si="1"/>
        <v>199183</v>
      </c>
      <c r="N27" s="42"/>
      <c r="O27" s="42"/>
      <c r="P27" s="42"/>
      <c r="Q27" s="52">
        <f t="shared" si="2"/>
        <v>-408514</v>
      </c>
      <c r="R27" s="48"/>
      <c r="S27" s="48"/>
      <c r="T27" s="48"/>
      <c r="U27" s="48"/>
      <c r="V27" s="51">
        <f>7740.78+3271.82</f>
        <v>11012.6</v>
      </c>
      <c r="W27" s="51">
        <f>5926.96+1634.37</f>
        <v>7561.33</v>
      </c>
      <c r="X27" s="32"/>
      <c r="Y27" s="51">
        <f>V27+W27+X27</f>
        <v>18573.93</v>
      </c>
      <c r="Z27" s="42"/>
      <c r="AA27" s="26">
        <f>141185+683</f>
        <v>141868</v>
      </c>
      <c r="AB27" s="26">
        <f>47897+232</f>
        <v>48129</v>
      </c>
      <c r="AC27" s="26">
        <f>1565+739</f>
        <v>2304</v>
      </c>
      <c r="AD27" s="47">
        <v>6882</v>
      </c>
      <c r="AE27" s="47"/>
      <c r="AF27" s="40">
        <f t="shared" si="3"/>
        <v>199183</v>
      </c>
    </row>
    <row r="28" spans="7:32" s="26" customFormat="1" ht="12.75">
      <c r="G28" s="42"/>
      <c r="H28" s="42"/>
      <c r="I28" s="53">
        <f>I18+I19+I20+I24+I25+I26+I27</f>
        <v>17646</v>
      </c>
      <c r="J28" s="48"/>
      <c r="K28" s="53">
        <f>SUM(K18:K27)</f>
        <v>8907047</v>
      </c>
      <c r="L28" s="48"/>
      <c r="M28" s="53">
        <f>SUM(M18:M27)</f>
        <v>9870835.999999998</v>
      </c>
      <c r="N28" s="42"/>
      <c r="O28" s="53">
        <f>SUM(O18:O27)</f>
        <v>-1371732</v>
      </c>
      <c r="P28" s="42"/>
      <c r="Q28" s="54" t="e">
        <f>SUM(Q18:Q27)</f>
        <v>#REF!</v>
      </c>
      <c r="R28" s="48"/>
      <c r="S28" s="48"/>
      <c r="T28" s="48"/>
      <c r="U28" s="48"/>
      <c r="V28" s="53">
        <f>SUM(V18:V27)</f>
        <v>2201868.25</v>
      </c>
      <c r="W28" s="53">
        <f>SUM(W18:W27)</f>
        <v>1307048.84</v>
      </c>
      <c r="X28" s="32"/>
      <c r="Y28" s="53">
        <f>SUM(Y18:Y27)</f>
        <v>3508917.090000001</v>
      </c>
      <c r="Z28" s="42"/>
      <c r="AA28" s="53">
        <f aca="true" t="shared" si="4" ref="AA28:AF28">SUM(AA18:AA27)</f>
        <v>6707180</v>
      </c>
      <c r="AB28" s="53">
        <f t="shared" si="4"/>
        <v>1847874</v>
      </c>
      <c r="AC28" s="53">
        <f t="shared" si="4"/>
        <v>1151175</v>
      </c>
      <c r="AD28" s="55">
        <f t="shared" si="4"/>
        <v>164607</v>
      </c>
      <c r="AE28" s="55">
        <f t="shared" si="4"/>
        <v>0</v>
      </c>
      <c r="AF28" s="55">
        <f t="shared" si="4"/>
        <v>9870835.999999998</v>
      </c>
    </row>
    <row r="29" spans="7:32" s="26" customFormat="1" ht="9" customHeight="1">
      <c r="G29" s="42"/>
      <c r="H29" s="42"/>
      <c r="I29" s="48"/>
      <c r="J29" s="48"/>
      <c r="K29" s="48"/>
      <c r="L29" s="48"/>
      <c r="M29" s="56"/>
      <c r="N29" s="42"/>
      <c r="O29" s="42"/>
      <c r="P29" s="42"/>
      <c r="Q29" s="49"/>
      <c r="R29" s="48"/>
      <c r="S29" s="48"/>
      <c r="T29" s="48"/>
      <c r="U29" s="48"/>
      <c r="V29" s="45"/>
      <c r="W29" s="45"/>
      <c r="X29" s="32"/>
      <c r="Y29" s="48">
        <f>V29+W29</f>
        <v>0</v>
      </c>
      <c r="Z29" s="42"/>
      <c r="AF29" s="40"/>
    </row>
    <row r="30" spans="2:32" s="26" customFormat="1" ht="12.75">
      <c r="B30" s="2" t="s">
        <v>112</v>
      </c>
      <c r="G30" s="42"/>
      <c r="H30" s="42"/>
      <c r="I30" s="48"/>
      <c r="J30" s="48"/>
      <c r="K30" s="48"/>
      <c r="L30" s="48"/>
      <c r="M30" s="56"/>
      <c r="N30" s="42"/>
      <c r="O30" s="42"/>
      <c r="P30" s="42"/>
      <c r="Q30" s="49"/>
      <c r="R30" s="48"/>
      <c r="S30" s="48"/>
      <c r="T30" s="48"/>
      <c r="U30" s="48"/>
      <c r="V30" s="48"/>
      <c r="W30" s="48"/>
      <c r="X30" s="32"/>
      <c r="Y30" s="48">
        <f>V30+W30</f>
        <v>0</v>
      </c>
      <c r="Z30" s="42"/>
      <c r="AF30" s="40"/>
    </row>
    <row r="31" spans="2:32" s="26" customFormat="1" ht="12.75">
      <c r="B31" s="26" t="s">
        <v>89</v>
      </c>
      <c r="G31" s="42"/>
      <c r="H31" s="42"/>
      <c r="I31" s="48">
        <v>5277</v>
      </c>
      <c r="J31" s="48"/>
      <c r="K31" s="48">
        <f>1067834-37700-34000</f>
        <v>996134</v>
      </c>
      <c r="L31" s="48"/>
      <c r="M31" s="32">
        <f aca="true" t="shared" si="5" ref="M31:M39">AF31</f>
        <v>3901560.13</v>
      </c>
      <c r="N31" s="42"/>
      <c r="O31" s="42"/>
      <c r="P31" s="42"/>
      <c r="Q31" s="46">
        <f aca="true" t="shared" si="6" ref="Q31:Q39">I31-K31-M31-O31</f>
        <v>-4892417.13</v>
      </c>
      <c r="R31" s="48"/>
      <c r="S31" s="48"/>
      <c r="T31" s="48"/>
      <c r="U31" s="48"/>
      <c r="V31" s="48">
        <v>1251539.6</v>
      </c>
      <c r="W31" s="48">
        <v>779273.4</v>
      </c>
      <c r="X31" s="32"/>
      <c r="Y31" s="48">
        <f aca="true" t="shared" si="7" ref="Y31:Y39">V31+W31+X31</f>
        <v>2030813</v>
      </c>
      <c r="Z31" s="42"/>
      <c r="AA31" s="50">
        <f>2971277-66053.73</f>
        <v>2905223.27</v>
      </c>
      <c r="AB31" s="50">
        <f>1061223-717519.14</f>
        <v>343703.86</v>
      </c>
      <c r="AC31" s="26">
        <f>770991-121380</f>
        <v>649611</v>
      </c>
      <c r="AD31" s="47">
        <v>3022</v>
      </c>
      <c r="AE31" s="47"/>
      <c r="AF31" s="40">
        <f aca="true" t="shared" si="8" ref="AF31:AF39">SUM(AA31:AE31)</f>
        <v>3901560.13</v>
      </c>
    </row>
    <row r="32" spans="2:32" s="26" customFormat="1" ht="12.75">
      <c r="B32" s="26" t="s">
        <v>90</v>
      </c>
      <c r="G32" s="42"/>
      <c r="H32" s="42"/>
      <c r="I32" s="48">
        <v>447</v>
      </c>
      <c r="J32" s="48"/>
      <c r="K32" s="48">
        <v>187967</v>
      </c>
      <c r="L32" s="48"/>
      <c r="M32" s="32">
        <f t="shared" si="5"/>
        <v>41288.270000000004</v>
      </c>
      <c r="N32" s="42"/>
      <c r="O32" s="42"/>
      <c r="P32" s="42"/>
      <c r="Q32" s="49">
        <f t="shared" si="6"/>
        <v>-228808.27000000002</v>
      </c>
      <c r="R32" s="48"/>
      <c r="S32" s="48"/>
      <c r="T32" s="48"/>
      <c r="U32" s="48"/>
      <c r="V32" s="48">
        <f>17312.54+4249.35</f>
        <v>21561.89</v>
      </c>
      <c r="W32" s="48">
        <f>3830+3612.8</f>
        <v>7442.8</v>
      </c>
      <c r="X32" s="32"/>
      <c r="Y32" s="48">
        <f t="shared" si="7"/>
        <v>29004.69</v>
      </c>
      <c r="Z32" s="42"/>
      <c r="AA32" s="26">
        <f>12840+9938</f>
        <v>22778</v>
      </c>
      <c r="AB32" s="50">
        <f>10976+3777-6475.73</f>
        <v>8277.27</v>
      </c>
      <c r="AC32" s="26">
        <f>3830+2540-800</f>
        <v>5570</v>
      </c>
      <c r="AD32" s="26">
        <v>4663</v>
      </c>
      <c r="AF32" s="40">
        <f t="shared" si="8"/>
        <v>41288.270000000004</v>
      </c>
    </row>
    <row r="33" spans="2:32" s="26" customFormat="1" ht="12.75" hidden="1">
      <c r="B33" s="26" t="s">
        <v>91</v>
      </c>
      <c r="G33" s="42"/>
      <c r="H33" s="42"/>
      <c r="I33" s="48" t="e">
        <f>SUM(#REF!)+#REF!-#REF!</f>
        <v>#REF!</v>
      </c>
      <c r="J33" s="48"/>
      <c r="K33" s="48">
        <v>0</v>
      </c>
      <c r="L33" s="48"/>
      <c r="M33" s="32">
        <f t="shared" si="5"/>
        <v>100000</v>
      </c>
      <c r="N33" s="42"/>
      <c r="O33" s="42">
        <v>-100000</v>
      </c>
      <c r="P33" s="42"/>
      <c r="Q33" s="49" t="e">
        <f t="shared" si="6"/>
        <v>#REF!</v>
      </c>
      <c r="R33" s="48"/>
      <c r="S33" s="48"/>
      <c r="T33" s="48"/>
      <c r="U33" s="48"/>
      <c r="V33" s="48">
        <v>100000</v>
      </c>
      <c r="W33" s="48"/>
      <c r="X33" s="32"/>
      <c r="Y33" s="48">
        <f t="shared" si="7"/>
        <v>100000</v>
      </c>
      <c r="Z33" s="42"/>
      <c r="AA33" s="26">
        <v>0</v>
      </c>
      <c r="AB33" s="26">
        <v>100000</v>
      </c>
      <c r="AC33" s="26">
        <v>0</v>
      </c>
      <c r="AD33" s="47">
        <v>0</v>
      </c>
      <c r="AE33" s="47"/>
      <c r="AF33" s="40">
        <f t="shared" si="8"/>
        <v>100000</v>
      </c>
    </row>
    <row r="34" spans="2:32" s="26" customFormat="1" ht="12.75" hidden="1">
      <c r="B34" s="26" t="s">
        <v>92</v>
      </c>
      <c r="G34" s="42"/>
      <c r="H34" s="42"/>
      <c r="I34" s="48" t="e">
        <f>SUM(#REF!)+#REF!-#REF!</f>
        <v>#REF!</v>
      </c>
      <c r="J34" s="48"/>
      <c r="K34" s="48">
        <f>37700+34000</f>
        <v>71700</v>
      </c>
      <c r="L34" s="48"/>
      <c r="M34" s="32">
        <f t="shared" si="5"/>
        <v>1099033.6</v>
      </c>
      <c r="N34" s="42"/>
      <c r="O34" s="42">
        <v>-1170734</v>
      </c>
      <c r="P34" s="42"/>
      <c r="Q34" s="49" t="e">
        <f t="shared" si="6"/>
        <v>#REF!</v>
      </c>
      <c r="R34" s="48"/>
      <c r="S34" s="48"/>
      <c r="T34" s="48"/>
      <c r="U34" s="48"/>
      <c r="V34" s="48">
        <v>18120</v>
      </c>
      <c r="W34" s="48">
        <f>10000+101745</f>
        <v>111745</v>
      </c>
      <c r="X34" s="32"/>
      <c r="Y34" s="48">
        <f t="shared" si="7"/>
        <v>129865</v>
      </c>
      <c r="Z34" s="42"/>
      <c r="AA34" s="50">
        <v>66053.73</v>
      </c>
      <c r="AB34" s="50">
        <f>717519.14+6475.73</f>
        <v>723994.87</v>
      </c>
      <c r="AC34" s="26">
        <f>121380+800</f>
        <v>122180</v>
      </c>
      <c r="AD34" s="47">
        <v>186805</v>
      </c>
      <c r="AE34" s="47"/>
      <c r="AF34" s="40">
        <f t="shared" si="8"/>
        <v>1099033.6</v>
      </c>
    </row>
    <row r="35" spans="2:32" s="26" customFormat="1" ht="12.75" hidden="1">
      <c r="B35" s="26" t="s">
        <v>93</v>
      </c>
      <c r="G35" s="42"/>
      <c r="H35" s="42"/>
      <c r="I35" s="48" t="e">
        <f>SUM(#REF!)+#REF!-#REF!</f>
        <v>#REF!</v>
      </c>
      <c r="J35" s="48"/>
      <c r="K35" s="48">
        <v>100998</v>
      </c>
      <c r="L35" s="48"/>
      <c r="M35" s="32">
        <f t="shared" si="5"/>
        <v>0</v>
      </c>
      <c r="N35" s="42"/>
      <c r="O35" s="42">
        <v>-100998</v>
      </c>
      <c r="P35" s="42"/>
      <c r="Q35" s="49" t="e">
        <f t="shared" si="6"/>
        <v>#REF!</v>
      </c>
      <c r="R35" s="48"/>
      <c r="S35" s="48"/>
      <c r="T35" s="48"/>
      <c r="U35" s="48"/>
      <c r="V35" s="48"/>
      <c r="W35" s="48"/>
      <c r="X35" s="32"/>
      <c r="Y35" s="48">
        <f t="shared" si="7"/>
        <v>0</v>
      </c>
      <c r="Z35" s="42"/>
      <c r="AA35" s="26">
        <v>0</v>
      </c>
      <c r="AB35" s="26">
        <v>0</v>
      </c>
      <c r="AC35" s="26">
        <v>0</v>
      </c>
      <c r="AD35" s="47">
        <v>0</v>
      </c>
      <c r="AE35" s="47"/>
      <c r="AF35" s="40">
        <f t="shared" si="8"/>
        <v>0</v>
      </c>
    </row>
    <row r="36" spans="2:32" s="26" customFormat="1" ht="12.75">
      <c r="B36" s="26" t="s">
        <v>94</v>
      </c>
      <c r="G36" s="42"/>
      <c r="H36" s="42"/>
      <c r="I36" s="48">
        <v>29</v>
      </c>
      <c r="J36" s="48"/>
      <c r="K36" s="48">
        <v>0</v>
      </c>
      <c r="L36" s="48"/>
      <c r="M36" s="32">
        <f t="shared" si="5"/>
        <v>0</v>
      </c>
      <c r="N36" s="42"/>
      <c r="O36" s="42"/>
      <c r="P36" s="42"/>
      <c r="Q36" s="49">
        <f t="shared" si="6"/>
        <v>29</v>
      </c>
      <c r="R36" s="48"/>
      <c r="S36" s="48"/>
      <c r="T36" s="48"/>
      <c r="U36" s="48"/>
      <c r="V36" s="48"/>
      <c r="W36" s="48"/>
      <c r="X36" s="32"/>
      <c r="Y36" s="48">
        <f t="shared" si="7"/>
        <v>0</v>
      </c>
      <c r="Z36" s="42"/>
      <c r="AA36" s="26">
        <v>0</v>
      </c>
      <c r="AB36" s="26">
        <v>0</v>
      </c>
      <c r="AC36" s="26">
        <v>0</v>
      </c>
      <c r="AD36" s="47">
        <v>0</v>
      </c>
      <c r="AE36" s="47"/>
      <c r="AF36" s="40">
        <f t="shared" si="8"/>
        <v>0</v>
      </c>
    </row>
    <row r="37" spans="2:32" s="26" customFormat="1" ht="12.75">
      <c r="B37" s="26" t="s">
        <v>95</v>
      </c>
      <c r="G37" s="42"/>
      <c r="H37" s="42"/>
      <c r="I37" s="48">
        <v>111</v>
      </c>
      <c r="J37" s="48"/>
      <c r="K37" s="48">
        <v>100921</v>
      </c>
      <c r="L37" s="48"/>
      <c r="M37" s="32">
        <f t="shared" si="5"/>
        <v>0</v>
      </c>
      <c r="N37" s="42"/>
      <c r="O37" s="42"/>
      <c r="P37" s="42"/>
      <c r="Q37" s="49">
        <f t="shared" si="6"/>
        <v>-100810</v>
      </c>
      <c r="R37" s="48"/>
      <c r="S37" s="48"/>
      <c r="T37" s="48"/>
      <c r="U37" s="48"/>
      <c r="V37" s="48"/>
      <c r="W37" s="48"/>
      <c r="X37" s="32"/>
      <c r="Y37" s="48">
        <f t="shared" si="7"/>
        <v>0</v>
      </c>
      <c r="Z37" s="42"/>
      <c r="AA37" s="26">
        <v>0</v>
      </c>
      <c r="AB37" s="26">
        <v>0</v>
      </c>
      <c r="AC37" s="26">
        <v>0</v>
      </c>
      <c r="AD37" s="47">
        <v>0</v>
      </c>
      <c r="AE37" s="47"/>
      <c r="AF37" s="40">
        <f t="shared" si="8"/>
        <v>0</v>
      </c>
    </row>
    <row r="38" spans="2:32" s="26" customFormat="1" ht="12.75">
      <c r="B38" s="26" t="s">
        <v>96</v>
      </c>
      <c r="I38" s="48">
        <v>1065</v>
      </c>
      <c r="J38" s="48"/>
      <c r="K38" s="48">
        <v>88034</v>
      </c>
      <c r="L38" s="48"/>
      <c r="M38" s="32">
        <f t="shared" si="5"/>
        <v>901823</v>
      </c>
      <c r="N38" s="42"/>
      <c r="O38" s="42"/>
      <c r="P38" s="42"/>
      <c r="Q38" s="49">
        <f t="shared" si="6"/>
        <v>-988792</v>
      </c>
      <c r="R38" s="48"/>
      <c r="S38" s="48"/>
      <c r="T38" s="48"/>
      <c r="U38" s="48"/>
      <c r="V38" s="48">
        <f>128590.5+29385</f>
        <v>157975.5</v>
      </c>
      <c r="W38" s="48">
        <f>40504.4+9335</f>
        <v>49839.4</v>
      </c>
      <c r="X38" s="32"/>
      <c r="Y38" s="48">
        <f t="shared" si="7"/>
        <v>207814.9</v>
      </c>
      <c r="Z38" s="42"/>
      <c r="AA38" s="26">
        <v>720963</v>
      </c>
      <c r="AB38" s="26">
        <v>133591</v>
      </c>
      <c r="AC38" s="26">
        <v>47269</v>
      </c>
      <c r="AD38" s="47">
        <v>0</v>
      </c>
      <c r="AE38" s="47"/>
      <c r="AF38" s="40">
        <f t="shared" si="8"/>
        <v>901823</v>
      </c>
    </row>
    <row r="39" spans="2:32" s="26" customFormat="1" ht="12.75">
      <c r="B39" s="57" t="s">
        <v>97</v>
      </c>
      <c r="F39" s="58"/>
      <c r="I39" s="48">
        <v>1427</v>
      </c>
      <c r="J39" s="48"/>
      <c r="K39" s="48">
        <v>1110238</v>
      </c>
      <c r="L39" s="48"/>
      <c r="M39" s="32">
        <f t="shared" si="5"/>
        <v>888171</v>
      </c>
      <c r="N39" s="42"/>
      <c r="O39" s="42"/>
      <c r="P39" s="42"/>
      <c r="Q39" s="52">
        <f t="shared" si="6"/>
        <v>-1996982</v>
      </c>
      <c r="R39" s="48"/>
      <c r="S39" s="48"/>
      <c r="T39" s="48"/>
      <c r="U39" s="48"/>
      <c r="V39" s="51">
        <v>10342</v>
      </c>
      <c r="W39" s="51">
        <v>61093</v>
      </c>
      <c r="X39" s="32"/>
      <c r="Y39" s="48">
        <f t="shared" si="7"/>
        <v>71435</v>
      </c>
      <c r="Z39" s="42"/>
      <c r="AA39" s="26">
        <f>722045+50000+34809</f>
        <v>806854</v>
      </c>
      <c r="AB39" s="26">
        <v>15523</v>
      </c>
      <c r="AC39" s="26">
        <v>65794</v>
      </c>
      <c r="AD39" s="47">
        <v>0</v>
      </c>
      <c r="AE39" s="47"/>
      <c r="AF39" s="40">
        <f t="shared" si="8"/>
        <v>888171</v>
      </c>
    </row>
    <row r="40" spans="6:32" s="26" customFormat="1" ht="12.75">
      <c r="F40" s="58"/>
      <c r="G40" s="42"/>
      <c r="H40" s="42"/>
      <c r="I40" s="53">
        <f>I31+I32+I36+I37+I38+I39</f>
        <v>8356</v>
      </c>
      <c r="J40" s="48"/>
      <c r="K40" s="53">
        <f>SUM(K31:K39)</f>
        <v>2655992</v>
      </c>
      <c r="L40" s="48"/>
      <c r="M40" s="53">
        <f>SUM(M31:M39)</f>
        <v>6931876</v>
      </c>
      <c r="N40" s="42"/>
      <c r="O40" s="53">
        <f>SUM(O31:O39)</f>
        <v>-1371732</v>
      </c>
      <c r="P40" s="42"/>
      <c r="Q40" s="54" t="e">
        <f>SUM(Q31:Q39)</f>
        <v>#REF!</v>
      </c>
      <c r="R40" s="48"/>
      <c r="S40" s="48"/>
      <c r="T40" s="48"/>
      <c r="U40" s="48"/>
      <c r="V40" s="53">
        <f>SUM(V31:V39)</f>
        <v>1559538.99</v>
      </c>
      <c r="W40" s="53">
        <f>SUM(W31:W39)</f>
        <v>1009393.6000000001</v>
      </c>
      <c r="X40" s="32"/>
      <c r="Y40" s="53">
        <f>SUM(Y31:Y39)</f>
        <v>2568932.59</v>
      </c>
      <c r="Z40" s="42"/>
      <c r="AA40" s="53">
        <f>SUM(AA31:AA39)</f>
        <v>4521872</v>
      </c>
      <c r="AB40" s="53">
        <f>SUM(AB31:AB39)</f>
        <v>1325090</v>
      </c>
      <c r="AC40" s="53">
        <f>SUM(AC31:AC39)</f>
        <v>890424</v>
      </c>
      <c r="AD40" s="55">
        <f>SUM(AD31:AD39)</f>
        <v>194490</v>
      </c>
      <c r="AE40" s="55"/>
      <c r="AF40" s="55">
        <f>SUM(AF31:AF39)</f>
        <v>6931876</v>
      </c>
    </row>
    <row r="41" spans="5:32" s="26" customFormat="1" ht="9" customHeight="1">
      <c r="E41" s="58"/>
      <c r="F41" s="58"/>
      <c r="G41" s="42"/>
      <c r="H41" s="42"/>
      <c r="I41" s="32"/>
      <c r="J41" s="32"/>
      <c r="K41" s="32"/>
      <c r="L41" s="32"/>
      <c r="M41" s="32"/>
      <c r="N41" s="32"/>
      <c r="O41" s="32"/>
      <c r="P41" s="32"/>
      <c r="Q41" s="39"/>
      <c r="R41" s="32"/>
      <c r="S41" s="32"/>
      <c r="T41" s="32"/>
      <c r="U41" s="32"/>
      <c r="V41" s="42"/>
      <c r="W41" s="42"/>
      <c r="X41" s="32"/>
      <c r="Y41" s="32">
        <f>V41+W41</f>
        <v>0</v>
      </c>
      <c r="Z41" s="32"/>
      <c r="AF41" s="40"/>
    </row>
    <row r="42" spans="2:32" s="26" customFormat="1" ht="12.75">
      <c r="B42" s="2" t="s">
        <v>98</v>
      </c>
      <c r="E42" s="58"/>
      <c r="F42" s="58"/>
      <c r="G42" s="42"/>
      <c r="H42" s="42"/>
      <c r="I42" s="32">
        <f>+I28-I40</f>
        <v>9290</v>
      </c>
      <c r="J42" s="32"/>
      <c r="K42" s="32">
        <f>+K28-K40</f>
        <v>6251055</v>
      </c>
      <c r="L42" s="32"/>
      <c r="M42" s="32">
        <f>+M28-M40</f>
        <v>2938959.999999998</v>
      </c>
      <c r="N42" s="32"/>
      <c r="O42" s="32"/>
      <c r="P42" s="32"/>
      <c r="Q42" s="39" t="e">
        <f>+Q28-Q40</f>
        <v>#REF!</v>
      </c>
      <c r="R42" s="32"/>
      <c r="S42" s="32"/>
      <c r="T42" s="32"/>
      <c r="U42" s="32"/>
      <c r="V42" s="42">
        <f>+V28-V40</f>
        <v>642329.26</v>
      </c>
      <c r="W42" s="42">
        <f>+W28-W40</f>
        <v>297655.24</v>
      </c>
      <c r="X42" s="32"/>
      <c r="Y42" s="42">
        <f>+Y28-Y40</f>
        <v>939984.5000000009</v>
      </c>
      <c r="Z42" s="42"/>
      <c r="AA42" s="32">
        <f aca="true" t="shared" si="9" ref="AA42:AF42">+AA28-AA40</f>
        <v>2185308</v>
      </c>
      <c r="AB42" s="32">
        <f t="shared" si="9"/>
        <v>522784</v>
      </c>
      <c r="AC42" s="32">
        <f t="shared" si="9"/>
        <v>260751</v>
      </c>
      <c r="AD42" s="32">
        <f t="shared" si="9"/>
        <v>-29883</v>
      </c>
      <c r="AE42" s="32">
        <f t="shared" si="9"/>
        <v>0</v>
      </c>
      <c r="AF42" s="32">
        <f t="shared" si="9"/>
        <v>2938959.999999998</v>
      </c>
    </row>
    <row r="43" spans="5:32" s="26" customFormat="1" ht="12.75" customHeight="1">
      <c r="E43" s="58"/>
      <c r="F43" s="58"/>
      <c r="G43" s="42"/>
      <c r="H43" s="42"/>
      <c r="I43" s="32"/>
      <c r="J43" s="32"/>
      <c r="K43" s="32"/>
      <c r="L43" s="32"/>
      <c r="M43" s="32"/>
      <c r="N43" s="32"/>
      <c r="O43" s="32"/>
      <c r="P43" s="32"/>
      <c r="Q43" s="39"/>
      <c r="R43" s="32"/>
      <c r="S43" s="32"/>
      <c r="T43" s="32"/>
      <c r="U43" s="32"/>
      <c r="V43" s="42"/>
      <c r="W43" s="42"/>
      <c r="X43" s="32"/>
      <c r="Y43" s="32">
        <f>V43+W43</f>
        <v>0</v>
      </c>
      <c r="Z43" s="32"/>
      <c r="AF43" s="40"/>
    </row>
    <row r="44" spans="2:32" s="26" customFormat="1" ht="12.75">
      <c r="B44" s="2" t="s">
        <v>113</v>
      </c>
      <c r="E44" s="58"/>
      <c r="F44" s="58"/>
      <c r="G44" s="42"/>
      <c r="H44" s="42"/>
      <c r="I44" s="32"/>
      <c r="J44" s="32"/>
      <c r="K44" s="32"/>
      <c r="L44" s="32"/>
      <c r="M44" s="32"/>
      <c r="N44" s="32"/>
      <c r="O44" s="32"/>
      <c r="P44" s="32"/>
      <c r="Q44" s="39"/>
      <c r="R44" s="32"/>
      <c r="S44" s="32"/>
      <c r="T44" s="32"/>
      <c r="U44" s="32"/>
      <c r="V44" s="42"/>
      <c r="W44" s="42"/>
      <c r="X44" s="32"/>
      <c r="Y44" s="32">
        <f>V44+W44</f>
        <v>0</v>
      </c>
      <c r="Z44" s="32"/>
      <c r="AF44" s="40"/>
    </row>
    <row r="45" spans="3:32" s="26" customFormat="1" ht="12.75">
      <c r="C45" s="26" t="s">
        <v>99</v>
      </c>
      <c r="D45" s="2"/>
      <c r="E45" s="58"/>
      <c r="F45" s="58"/>
      <c r="G45" s="42"/>
      <c r="H45" s="42"/>
      <c r="I45" s="45">
        <v>306</v>
      </c>
      <c r="J45" s="42"/>
      <c r="K45" s="45">
        <v>96267</v>
      </c>
      <c r="L45" s="42"/>
      <c r="M45" s="45">
        <f>AF45</f>
        <v>183513</v>
      </c>
      <c r="N45" s="42"/>
      <c r="O45" s="42"/>
      <c r="P45" s="42"/>
      <c r="Q45" s="46">
        <f>I45-K45-M45-O45</f>
        <v>-279474</v>
      </c>
      <c r="R45" s="42"/>
      <c r="S45" s="42"/>
      <c r="T45" s="42"/>
      <c r="U45" s="42"/>
      <c r="V45" s="45"/>
      <c r="W45" s="45"/>
      <c r="X45" s="32"/>
      <c r="Y45" s="48">
        <f>V45+W45+X45</f>
        <v>0</v>
      </c>
      <c r="Z45" s="42"/>
      <c r="AA45" s="59">
        <v>183513</v>
      </c>
      <c r="AB45" s="59">
        <v>0</v>
      </c>
      <c r="AC45" s="59"/>
      <c r="AD45" s="60">
        <v>0</v>
      </c>
      <c r="AE45" s="61"/>
      <c r="AF45" s="40">
        <f>SUM(AA45:AE45)</f>
        <v>183513</v>
      </c>
    </row>
    <row r="46" spans="3:32" s="26" customFormat="1" ht="12.75">
      <c r="C46" s="26" t="s">
        <v>100</v>
      </c>
      <c r="D46" s="2"/>
      <c r="E46" s="58"/>
      <c r="F46" s="58"/>
      <c r="G46" s="42"/>
      <c r="H46" s="42"/>
      <c r="I46" s="51">
        <v>19</v>
      </c>
      <c r="J46" s="42"/>
      <c r="K46" s="51">
        <v>9807</v>
      </c>
      <c r="L46" s="42"/>
      <c r="M46" s="51">
        <f>AF46</f>
        <v>10296</v>
      </c>
      <c r="N46" s="42"/>
      <c r="O46" s="42"/>
      <c r="P46" s="42"/>
      <c r="Q46" s="52">
        <f>I46-K46-M46-O46</f>
        <v>-20084</v>
      </c>
      <c r="R46" s="42"/>
      <c r="S46" s="42"/>
      <c r="T46" s="42"/>
      <c r="U46" s="42"/>
      <c r="V46" s="51"/>
      <c r="W46" s="51"/>
      <c r="X46" s="32"/>
      <c r="Y46" s="48">
        <f>V46+W46+X46</f>
        <v>0</v>
      </c>
      <c r="Z46" s="42"/>
      <c r="AA46" s="62">
        <v>10296</v>
      </c>
      <c r="AB46" s="62">
        <v>0</v>
      </c>
      <c r="AC46" s="62"/>
      <c r="AD46" s="63">
        <v>0</v>
      </c>
      <c r="AE46" s="61"/>
      <c r="AF46" s="40">
        <f>SUM(AA46:AE46)</f>
        <v>10296</v>
      </c>
    </row>
    <row r="47" spans="4:32" s="26" customFormat="1" ht="12.75">
      <c r="D47" s="2"/>
      <c r="E47" s="58"/>
      <c r="F47" s="58"/>
      <c r="G47" s="42"/>
      <c r="H47" s="42"/>
      <c r="I47" s="32">
        <f>-SUM(I45:I46)</f>
        <v>-325</v>
      </c>
      <c r="J47" s="32"/>
      <c r="K47" s="32">
        <f>-SUM(K45:K46)</f>
        <v>-106074</v>
      </c>
      <c r="L47" s="32"/>
      <c r="M47" s="32">
        <f>-SUM(M45:M46)</f>
        <v>-193809</v>
      </c>
      <c r="N47" s="32"/>
      <c r="O47" s="32"/>
      <c r="P47" s="32"/>
      <c r="Q47" s="39">
        <f>-SUM(Q45:Q46)</f>
        <v>299558</v>
      </c>
      <c r="R47" s="32"/>
      <c r="S47" s="32"/>
      <c r="T47" s="32"/>
      <c r="U47" s="32"/>
      <c r="V47" s="42">
        <f>-V45-V46</f>
        <v>0</v>
      </c>
      <c r="W47" s="42">
        <f>-W45-W46</f>
        <v>0</v>
      </c>
      <c r="X47" s="32"/>
      <c r="Y47" s="42">
        <f>-Y45-Y46</f>
        <v>0</v>
      </c>
      <c r="Z47" s="42"/>
      <c r="AA47" s="32">
        <f aca="true" t="shared" si="10" ref="AA47:AF47">-SUM(AA45:AA46)</f>
        <v>-193809</v>
      </c>
      <c r="AB47" s="32">
        <f t="shared" si="10"/>
        <v>0</v>
      </c>
      <c r="AC47" s="32">
        <f t="shared" si="10"/>
        <v>0</v>
      </c>
      <c r="AD47" s="32">
        <f t="shared" si="10"/>
        <v>0</v>
      </c>
      <c r="AE47" s="32">
        <f t="shared" si="10"/>
        <v>0</v>
      </c>
      <c r="AF47" s="32">
        <f t="shared" si="10"/>
        <v>-193809</v>
      </c>
    </row>
    <row r="48" spans="5:32" s="26" customFormat="1" ht="13.5" thickBot="1">
      <c r="E48" s="58"/>
      <c r="F48" s="58"/>
      <c r="G48" s="42"/>
      <c r="H48" s="42"/>
      <c r="I48" s="64">
        <f>+I15+I42+I47</f>
        <v>10442</v>
      </c>
      <c r="J48" s="42"/>
      <c r="K48" s="64">
        <f>+K15+K42+K47</f>
        <v>6732640</v>
      </c>
      <c r="L48" s="42"/>
      <c r="M48" s="64">
        <f>+M15+M42+M47</f>
        <v>3389536.999999998</v>
      </c>
      <c r="N48" s="42"/>
      <c r="O48" s="42"/>
      <c r="P48" s="42"/>
      <c r="Q48" s="65" t="e">
        <f>+Q15+Q42+Q47</f>
        <v>#REF!</v>
      </c>
      <c r="R48" s="42"/>
      <c r="S48" s="42"/>
      <c r="T48" s="42"/>
      <c r="U48" s="42"/>
      <c r="V48" s="64">
        <f>+V15+V42+V47</f>
        <v>785573.16</v>
      </c>
      <c r="W48" s="64">
        <f>+W15+W42+W47</f>
        <v>405310.11</v>
      </c>
      <c r="X48" s="32"/>
      <c r="Y48" s="64">
        <f>+Y15+Y42+Y47</f>
        <v>1090883.270000001</v>
      </c>
      <c r="Z48" s="42"/>
      <c r="AA48" s="64">
        <f>+AA15+AA42+AA47</f>
        <v>2483417</v>
      </c>
      <c r="AB48" s="64">
        <f>+AB15+AB42+AB47</f>
        <v>668032</v>
      </c>
      <c r="AC48" s="64">
        <f>+AC15+AC42+AC47</f>
        <v>367971</v>
      </c>
      <c r="AD48" s="64" t="s">
        <v>21</v>
      </c>
      <c r="AE48" s="64">
        <f>+AE15+AE42+AE47</f>
        <v>-100000</v>
      </c>
      <c r="AF48" s="64">
        <f>+AF15+AF42+AF47</f>
        <v>3389536.999999998</v>
      </c>
    </row>
    <row r="49" spans="5:32" s="26" customFormat="1" ht="12.75">
      <c r="E49" s="58"/>
      <c r="F49" s="58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/>
      <c r="R49" s="32"/>
      <c r="S49" s="32"/>
      <c r="T49" s="32"/>
      <c r="U49" s="32"/>
      <c r="V49" s="42"/>
      <c r="W49" s="42"/>
      <c r="X49" s="32"/>
      <c r="Y49" s="32"/>
      <c r="Z49" s="32"/>
      <c r="AF49" s="40"/>
    </row>
    <row r="50" spans="2:32" s="26" customFormat="1" ht="12.75">
      <c r="B50" s="2" t="s">
        <v>101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/>
      <c r="R50" s="32"/>
      <c r="S50" s="32"/>
      <c r="T50" s="32"/>
      <c r="U50" s="32"/>
      <c r="V50" s="32"/>
      <c r="W50" s="32"/>
      <c r="X50" s="32"/>
      <c r="Y50" s="32"/>
      <c r="Z50" s="32"/>
      <c r="AF50" s="40"/>
    </row>
    <row r="51" spans="2:32" s="26" customFormat="1" ht="12.75">
      <c r="B51" s="26" t="s">
        <v>102</v>
      </c>
      <c r="G51" s="42"/>
      <c r="H51" s="42"/>
      <c r="I51" s="32">
        <v>7180</v>
      </c>
      <c r="J51" s="32"/>
      <c r="K51" s="32">
        <v>414678</v>
      </c>
      <c r="L51" s="32"/>
      <c r="M51" s="32">
        <f aca="true" t="shared" si="11" ref="M51:M57">AF51</f>
        <v>450000</v>
      </c>
      <c r="N51" s="32"/>
      <c r="O51" s="32"/>
      <c r="P51" s="32"/>
      <c r="Q51" s="46">
        <f aca="true" t="shared" si="12" ref="Q51:Q57">I51-K51-M51-O51</f>
        <v>-857498</v>
      </c>
      <c r="R51" s="32"/>
      <c r="S51" s="32"/>
      <c r="T51" s="32"/>
      <c r="U51" s="32"/>
      <c r="V51" s="32">
        <v>100000</v>
      </c>
      <c r="W51" s="32">
        <v>100000</v>
      </c>
      <c r="X51" s="32">
        <v>-100000</v>
      </c>
      <c r="Y51" s="48">
        <f>V51+W51+X51</f>
        <v>100000</v>
      </c>
      <c r="Z51" s="42"/>
      <c r="AA51" s="66">
        <v>250000</v>
      </c>
      <c r="AB51" s="66">
        <v>100000</v>
      </c>
      <c r="AC51" s="66">
        <v>100000</v>
      </c>
      <c r="AD51" s="66">
        <v>100000</v>
      </c>
      <c r="AE51" s="66">
        <v>-100000</v>
      </c>
      <c r="AF51" s="40">
        <f aca="true" t="shared" si="13" ref="AF51:AF57">SUM(AA51:AE51)</f>
        <v>450000</v>
      </c>
    </row>
    <row r="52" spans="2:32" s="26" customFormat="1" ht="12.75" hidden="1">
      <c r="B52" s="26" t="s">
        <v>103</v>
      </c>
      <c r="G52" s="42"/>
      <c r="H52" s="42"/>
      <c r="I52" s="32" t="e">
        <f>SUM(#REF!)+#REF!-#REF!</f>
        <v>#REF!</v>
      </c>
      <c r="J52" s="32"/>
      <c r="K52" s="32">
        <v>0</v>
      </c>
      <c r="L52" s="32"/>
      <c r="M52" s="32">
        <f t="shared" si="11"/>
        <v>0</v>
      </c>
      <c r="N52" s="32"/>
      <c r="O52" s="32"/>
      <c r="P52" s="32"/>
      <c r="Q52" s="49" t="e">
        <f t="shared" si="12"/>
        <v>#REF!</v>
      </c>
      <c r="R52" s="32"/>
      <c r="S52" s="32"/>
      <c r="T52" s="32"/>
      <c r="U52" s="32"/>
      <c r="V52" s="42"/>
      <c r="W52" s="42"/>
      <c r="X52" s="32"/>
      <c r="Y52" s="48">
        <f>V52+W52+X52</f>
        <v>0</v>
      </c>
      <c r="Z52" s="42"/>
      <c r="AA52" s="26">
        <v>0</v>
      </c>
      <c r="AB52" s="26">
        <v>0</v>
      </c>
      <c r="AC52" s="26">
        <v>0</v>
      </c>
      <c r="AD52" s="47">
        <v>0</v>
      </c>
      <c r="AE52" s="47"/>
      <c r="AF52" s="40">
        <f t="shared" si="13"/>
        <v>0</v>
      </c>
    </row>
    <row r="53" spans="2:32" s="26" customFormat="1" ht="12.75">
      <c r="B53" s="26" t="s">
        <v>104</v>
      </c>
      <c r="G53" s="42"/>
      <c r="H53" s="42"/>
      <c r="I53" s="32">
        <v>1432</v>
      </c>
      <c r="J53" s="32"/>
      <c r="K53" s="32">
        <v>1933314</v>
      </c>
      <c r="L53" s="32"/>
      <c r="M53" s="32">
        <f t="shared" si="11"/>
        <v>0</v>
      </c>
      <c r="N53" s="32"/>
      <c r="O53" s="32"/>
      <c r="P53" s="32"/>
      <c r="Q53" s="49">
        <f t="shared" si="12"/>
        <v>-1931882</v>
      </c>
      <c r="R53" s="32"/>
      <c r="S53" s="32"/>
      <c r="T53" s="32"/>
      <c r="U53" s="32"/>
      <c r="V53" s="32"/>
      <c r="W53" s="32"/>
      <c r="X53" s="32"/>
      <c r="Y53" s="48">
        <f>V53+W53+X53</f>
        <v>0</v>
      </c>
      <c r="Z53" s="42"/>
      <c r="AA53" s="26">
        <v>0</v>
      </c>
      <c r="AB53" s="26">
        <v>0</v>
      </c>
      <c r="AC53" s="26">
        <v>0</v>
      </c>
      <c r="AD53" s="47">
        <v>0</v>
      </c>
      <c r="AE53" s="47"/>
      <c r="AF53" s="40">
        <f t="shared" si="13"/>
        <v>0</v>
      </c>
    </row>
    <row r="54" spans="2:32" s="26" customFormat="1" ht="12.75">
      <c r="B54" s="26" t="s">
        <v>105</v>
      </c>
      <c r="G54" s="42"/>
      <c r="H54" s="42"/>
      <c r="I54" s="32">
        <v>1830</v>
      </c>
      <c r="J54" s="32"/>
      <c r="K54" s="32">
        <v>2602263</v>
      </c>
      <c r="L54" s="32"/>
      <c r="M54" s="32">
        <f t="shared" si="11"/>
        <v>0</v>
      </c>
      <c r="N54" s="32"/>
      <c r="O54" s="32"/>
      <c r="P54" s="32"/>
      <c r="Q54" s="49">
        <f t="shared" si="12"/>
        <v>-2600433</v>
      </c>
      <c r="R54" s="32"/>
      <c r="S54" s="32"/>
      <c r="T54" s="32"/>
      <c r="U54" s="32"/>
      <c r="V54" s="32">
        <f>714958.16-29385</f>
        <v>685573.16</v>
      </c>
      <c r="W54" s="32">
        <f>314645.11-9335</f>
        <v>305310.11</v>
      </c>
      <c r="X54" s="32"/>
      <c r="Y54" s="48">
        <f>V54+W54+X54</f>
        <v>990883.27</v>
      </c>
      <c r="Z54" s="42"/>
      <c r="AA54" s="26">
        <v>0</v>
      </c>
      <c r="AC54" s="26">
        <v>0</v>
      </c>
      <c r="AD54" s="47">
        <v>0</v>
      </c>
      <c r="AE54" s="47"/>
      <c r="AF54" s="40">
        <f t="shared" si="13"/>
        <v>0</v>
      </c>
    </row>
    <row r="55" spans="2:32" s="26" customFormat="1" ht="12.75" hidden="1">
      <c r="B55" s="26" t="s">
        <v>106</v>
      </c>
      <c r="G55" s="42"/>
      <c r="H55" s="42"/>
      <c r="I55" s="32">
        <v>0</v>
      </c>
      <c r="J55" s="32"/>
      <c r="K55" s="32">
        <v>0</v>
      </c>
      <c r="L55" s="32"/>
      <c r="M55" s="32">
        <f t="shared" si="11"/>
        <v>2899709</v>
      </c>
      <c r="N55" s="32"/>
      <c r="O55" s="32"/>
      <c r="P55" s="32"/>
      <c r="Q55" s="49">
        <f t="shared" si="12"/>
        <v>-2899709</v>
      </c>
      <c r="R55" s="32"/>
      <c r="S55" s="32"/>
      <c r="T55" s="32"/>
      <c r="U55" s="32"/>
      <c r="V55" s="32"/>
      <c r="W55" s="32"/>
      <c r="X55" s="32"/>
      <c r="Y55" s="48"/>
      <c r="Z55" s="42"/>
      <c r="AA55" s="26">
        <v>2233417</v>
      </c>
      <c r="AB55" s="26">
        <f>568032-AB57</f>
        <v>528204</v>
      </c>
      <c r="AC55" s="26">
        <v>267971</v>
      </c>
      <c r="AD55" s="47">
        <v>-129883</v>
      </c>
      <c r="AE55" s="47"/>
      <c r="AF55" s="40">
        <f t="shared" si="13"/>
        <v>2899709</v>
      </c>
    </row>
    <row r="56" spans="2:32" s="26" customFormat="1" ht="12.75" hidden="1">
      <c r="B56" s="26" t="s">
        <v>107</v>
      </c>
      <c r="G56" s="42"/>
      <c r="H56" s="42"/>
      <c r="I56" s="32">
        <v>0</v>
      </c>
      <c r="J56" s="32"/>
      <c r="K56" s="32">
        <v>0</v>
      </c>
      <c r="L56" s="32"/>
      <c r="M56" s="32">
        <f t="shared" si="11"/>
        <v>0</v>
      </c>
      <c r="N56" s="32"/>
      <c r="O56" s="32"/>
      <c r="P56" s="32"/>
      <c r="Q56" s="49">
        <f t="shared" si="12"/>
        <v>0</v>
      </c>
      <c r="R56" s="32"/>
      <c r="S56" s="32"/>
      <c r="T56" s="32"/>
      <c r="U56" s="32"/>
      <c r="V56" s="32"/>
      <c r="W56" s="32"/>
      <c r="X56" s="32"/>
      <c r="Y56" s="48"/>
      <c r="Z56" s="42"/>
      <c r="AA56" s="26">
        <v>0</v>
      </c>
      <c r="AB56" s="26">
        <v>0</v>
      </c>
      <c r="AC56" s="26">
        <v>0</v>
      </c>
      <c r="AD56" s="47">
        <v>0</v>
      </c>
      <c r="AE56" s="47"/>
      <c r="AF56" s="40">
        <f t="shared" si="13"/>
        <v>0</v>
      </c>
    </row>
    <row r="57" spans="2:32" s="26" customFormat="1" ht="12.75" hidden="1">
      <c r="B57" s="26" t="s">
        <v>108</v>
      </c>
      <c r="G57" s="42"/>
      <c r="H57" s="42"/>
      <c r="I57" s="32" t="e">
        <f>SUM(#REF!)+#REF!-#REF!</f>
        <v>#REF!</v>
      </c>
      <c r="J57" s="32"/>
      <c r="K57" s="32">
        <v>1782385</v>
      </c>
      <c r="L57" s="32"/>
      <c r="M57" s="32">
        <f t="shared" si="11"/>
        <v>39828</v>
      </c>
      <c r="N57" s="32"/>
      <c r="O57" s="32"/>
      <c r="P57" s="32"/>
      <c r="Q57" s="52" t="e">
        <f t="shared" si="12"/>
        <v>#REF!</v>
      </c>
      <c r="R57" s="32"/>
      <c r="S57" s="32"/>
      <c r="T57" s="32"/>
      <c r="U57" s="32"/>
      <c r="V57" s="41"/>
      <c r="W57" s="41"/>
      <c r="X57" s="32"/>
      <c r="Y57" s="48">
        <f>V57+W57+X57</f>
        <v>0</v>
      </c>
      <c r="Z57" s="42"/>
      <c r="AA57" s="26">
        <v>0</v>
      </c>
      <c r="AB57" s="26">
        <v>39828</v>
      </c>
      <c r="AC57" s="26">
        <v>0</v>
      </c>
      <c r="AD57" s="47">
        <v>0</v>
      </c>
      <c r="AE57" s="47"/>
      <c r="AF57" s="40">
        <f t="shared" si="13"/>
        <v>39828</v>
      </c>
    </row>
    <row r="58" spans="2:32" s="26" customFormat="1" ht="13.5" thickBot="1">
      <c r="B58" s="2" t="s">
        <v>109</v>
      </c>
      <c r="G58" s="42"/>
      <c r="H58" s="42"/>
      <c r="I58" s="64">
        <f>I51+I53+I54</f>
        <v>10442</v>
      </c>
      <c r="J58" s="42"/>
      <c r="K58" s="64">
        <f>SUM(K51:K57)</f>
        <v>6732640</v>
      </c>
      <c r="L58" s="42"/>
      <c r="M58" s="64">
        <f>SUM(M51:M57)</f>
        <v>3389537</v>
      </c>
      <c r="N58" s="42"/>
      <c r="O58" s="42"/>
      <c r="P58" s="42"/>
      <c r="Q58" s="65" t="e">
        <f>SUM(Q51:Q57)</f>
        <v>#REF!</v>
      </c>
      <c r="R58" s="42"/>
      <c r="S58" s="42"/>
      <c r="T58" s="42"/>
      <c r="U58" s="42"/>
      <c r="V58" s="64">
        <f>SUM(V51:V57)</f>
        <v>785573.16</v>
      </c>
      <c r="W58" s="64">
        <f>SUM(W51:W57)</f>
        <v>405310.11</v>
      </c>
      <c r="X58" s="32"/>
      <c r="Y58" s="64">
        <f>SUM(Y51:Y57)</f>
        <v>1090883.27</v>
      </c>
      <c r="Z58" s="42"/>
      <c r="AA58" s="64">
        <f aca="true" t="shared" si="14" ref="AA58:AF58">SUM(AA51:AA57)</f>
        <v>2483417</v>
      </c>
      <c r="AB58" s="64">
        <f t="shared" si="14"/>
        <v>668032</v>
      </c>
      <c r="AC58" s="64">
        <f t="shared" si="14"/>
        <v>367971</v>
      </c>
      <c r="AD58" s="64">
        <f t="shared" si="14"/>
        <v>-29883</v>
      </c>
      <c r="AE58" s="64">
        <f t="shared" si="14"/>
        <v>-100000</v>
      </c>
      <c r="AF58" s="64">
        <f t="shared" si="14"/>
        <v>3389537</v>
      </c>
    </row>
    <row r="59" spans="7:26" s="26" customFormat="1" ht="12.75">
      <c r="G59" s="42"/>
      <c r="H59" s="42"/>
      <c r="I59" s="42" t="s">
        <v>21</v>
      </c>
      <c r="J59" s="42"/>
      <c r="K59" s="42"/>
      <c r="L59" s="42"/>
      <c r="M59" s="42"/>
      <c r="N59" s="42"/>
      <c r="O59" s="42"/>
      <c r="P59" s="42"/>
      <c r="Q59" s="67"/>
      <c r="R59" s="42"/>
      <c r="S59" s="42"/>
      <c r="T59" s="42"/>
      <c r="U59" s="42"/>
      <c r="V59" s="42">
        <f>+V48-V58</f>
        <v>0</v>
      </c>
      <c r="W59" s="42">
        <f>+W48-W58</f>
        <v>0</v>
      </c>
      <c r="X59" s="32"/>
      <c r="Y59" s="32"/>
      <c r="Z59" s="32"/>
    </row>
    <row r="60" spans="7:26" s="26" customFormat="1" ht="12.75">
      <c r="G60" s="42"/>
      <c r="H60" s="42"/>
      <c r="I60" s="42"/>
      <c r="J60" s="42"/>
      <c r="K60" s="42"/>
      <c r="L60" s="42"/>
      <c r="M60" s="42"/>
      <c r="N60" s="42"/>
      <c r="O60" s="42">
        <f>O28-O40</f>
        <v>0</v>
      </c>
      <c r="P60" s="42"/>
      <c r="Q60" s="67"/>
      <c r="R60" s="42"/>
      <c r="S60" s="42"/>
      <c r="T60" s="42"/>
      <c r="U60" s="42"/>
      <c r="V60" s="32"/>
      <c r="W60" s="32"/>
      <c r="X60" s="32"/>
      <c r="Y60" s="32"/>
      <c r="Z60" s="32"/>
    </row>
    <row r="61" spans="7:26" s="26" customFormat="1" ht="12.75" hidden="1">
      <c r="G61" s="42"/>
      <c r="H61" s="42"/>
      <c r="I61" s="42">
        <f>+I54</f>
        <v>1830</v>
      </c>
      <c r="J61" s="42"/>
      <c r="K61" s="42"/>
      <c r="L61" s="42"/>
      <c r="M61" s="42"/>
      <c r="N61" s="42"/>
      <c r="O61" s="42"/>
      <c r="P61" s="42"/>
      <c r="Q61" s="67"/>
      <c r="R61" s="42"/>
      <c r="S61" s="42"/>
      <c r="T61" s="42"/>
      <c r="U61" s="42"/>
      <c r="V61" s="32"/>
      <c r="W61" s="32"/>
      <c r="X61" s="32"/>
      <c r="Y61" s="32"/>
      <c r="Z61" s="32"/>
    </row>
    <row r="62" spans="7:26" s="26" customFormat="1" ht="12.75" hidden="1">
      <c r="G62" s="42"/>
      <c r="H62" s="42"/>
      <c r="I62" s="42">
        <v>2609204</v>
      </c>
      <c r="J62" s="42"/>
      <c r="K62" s="42"/>
      <c r="L62" s="42"/>
      <c r="M62" s="42"/>
      <c r="N62" s="42"/>
      <c r="O62" s="42"/>
      <c r="P62" s="42"/>
      <c r="Q62" s="67"/>
      <c r="R62" s="42"/>
      <c r="S62" s="42"/>
      <c r="T62" s="42"/>
      <c r="U62" s="42"/>
      <c r="V62" s="32"/>
      <c r="W62" s="32"/>
      <c r="X62" s="32"/>
      <c r="Y62" s="32"/>
      <c r="Z62" s="32"/>
    </row>
    <row r="63" spans="9:26" s="26" customFormat="1" ht="12.75" hidden="1">
      <c r="I63" s="32">
        <f>+I61-I62</f>
        <v>-2607374</v>
      </c>
      <c r="J63" s="32"/>
      <c r="K63" s="32"/>
      <c r="L63" s="32"/>
      <c r="M63" s="32"/>
      <c r="N63" s="32"/>
      <c r="O63" s="32"/>
      <c r="P63" s="32"/>
      <c r="Q63" s="39"/>
      <c r="R63" s="32"/>
      <c r="S63" s="32"/>
      <c r="T63" s="32"/>
      <c r="U63" s="32"/>
      <c r="X63" s="32"/>
      <c r="Y63" s="32"/>
      <c r="Z63" s="32"/>
    </row>
    <row r="64" spans="9:26" s="26" customFormat="1" ht="12.75" hidden="1">
      <c r="I64" s="32"/>
      <c r="J64" s="32"/>
      <c r="K64" s="32"/>
      <c r="L64" s="32"/>
      <c r="M64" s="32"/>
      <c r="N64" s="32"/>
      <c r="O64" s="32"/>
      <c r="P64" s="32"/>
      <c r="Q64" s="39"/>
      <c r="R64" s="32"/>
      <c r="S64" s="32"/>
      <c r="T64" s="32"/>
      <c r="U64" s="32"/>
      <c r="X64" s="32"/>
      <c r="Y64" s="32"/>
      <c r="Z64" s="32"/>
    </row>
    <row r="65" spans="9:26" s="26" customFormat="1" ht="12.75" hidden="1">
      <c r="I65" s="32"/>
      <c r="J65" s="32"/>
      <c r="K65" s="32"/>
      <c r="L65" s="32"/>
      <c r="M65" s="32"/>
      <c r="N65" s="32"/>
      <c r="O65" s="32"/>
      <c r="P65" s="32"/>
      <c r="Q65" s="39"/>
      <c r="R65" s="32"/>
      <c r="S65" s="32"/>
      <c r="T65" s="32"/>
      <c r="U65" s="32"/>
      <c r="X65" s="32"/>
      <c r="Y65" s="32"/>
      <c r="Z65" s="32"/>
    </row>
    <row r="66" spans="9:26" s="26" customFormat="1" ht="12.75" hidden="1">
      <c r="I66" s="32"/>
      <c r="J66" s="32"/>
      <c r="K66" s="32"/>
      <c r="L66" s="32"/>
      <c r="M66" s="32"/>
      <c r="N66" s="32"/>
      <c r="O66" s="32"/>
      <c r="P66" s="32"/>
      <c r="Q66" s="39"/>
      <c r="R66" s="32"/>
      <c r="S66" s="32"/>
      <c r="T66" s="32"/>
      <c r="U66" s="32"/>
      <c r="X66" s="32"/>
      <c r="Y66" s="32"/>
      <c r="Z66" s="32"/>
    </row>
    <row r="67" spans="2:26" s="26" customFormat="1" ht="13.5" thickBot="1">
      <c r="B67" s="26" t="s">
        <v>110</v>
      </c>
      <c r="I67" s="68">
        <f>(I58-I13-I14)/(I51*10)*100</f>
        <v>14.239554317548746</v>
      </c>
      <c r="J67" s="32"/>
      <c r="K67" s="32"/>
      <c r="L67" s="32"/>
      <c r="M67" s="32"/>
      <c r="N67" s="32"/>
      <c r="O67" s="32"/>
      <c r="P67" s="32"/>
      <c r="Q67" s="39"/>
      <c r="R67" s="32"/>
      <c r="S67" s="32"/>
      <c r="T67" s="32"/>
      <c r="U67" s="32"/>
      <c r="X67" s="32"/>
      <c r="Y67" s="32"/>
      <c r="Z67" s="32"/>
    </row>
    <row r="68" spans="9:26" s="26" customFormat="1" ht="12.75">
      <c r="I68" s="69"/>
      <c r="J68" s="32"/>
      <c r="K68" s="32"/>
      <c r="L68" s="32"/>
      <c r="M68" s="32"/>
      <c r="N68" s="32"/>
      <c r="O68" s="32"/>
      <c r="P68" s="32"/>
      <c r="Q68" s="39"/>
      <c r="R68" s="32"/>
      <c r="S68" s="32"/>
      <c r="T68" s="32"/>
      <c r="U68" s="32"/>
      <c r="X68" s="32"/>
      <c r="Y68" s="32"/>
      <c r="Z68" s="32"/>
    </row>
    <row r="69" spans="2:26" s="26" customFormat="1" ht="12.75">
      <c r="B69" s="26" t="s">
        <v>111</v>
      </c>
      <c r="I69" s="32"/>
      <c r="J69" s="32"/>
      <c r="K69" s="32"/>
      <c r="L69" s="32"/>
      <c r="M69" s="32"/>
      <c r="N69" s="32"/>
      <c r="O69" s="32"/>
      <c r="P69" s="32"/>
      <c r="Q69" s="39"/>
      <c r="R69" s="32"/>
      <c r="S69" s="32"/>
      <c r="T69" s="32"/>
      <c r="U69" s="32"/>
      <c r="X69" s="32"/>
      <c r="Y69" s="32"/>
      <c r="Z69" s="32"/>
    </row>
    <row r="70" spans="2:26" s="26" customFormat="1" ht="12.75">
      <c r="B70" t="s">
        <v>41</v>
      </c>
      <c r="I70" s="32"/>
      <c r="J70" s="32"/>
      <c r="K70" s="32"/>
      <c r="L70" s="32"/>
      <c r="M70" s="32"/>
      <c r="N70" s="32"/>
      <c r="O70" s="32"/>
      <c r="P70" s="32"/>
      <c r="Q70" s="39"/>
      <c r="R70" s="32"/>
      <c r="S70" s="32"/>
      <c r="T70" s="32"/>
      <c r="U70" s="32"/>
      <c r="X70" s="32"/>
      <c r="Y70" s="32"/>
      <c r="Z70" s="32"/>
    </row>
    <row r="71" spans="9:26" s="26" customFormat="1" ht="12.75">
      <c r="I71" s="32"/>
      <c r="J71" s="32"/>
      <c r="K71" s="32"/>
      <c r="L71" s="32"/>
      <c r="M71" s="32"/>
      <c r="N71" s="32"/>
      <c r="O71" s="32"/>
      <c r="P71" s="32"/>
      <c r="Q71" s="39"/>
      <c r="R71" s="32"/>
      <c r="S71" s="32"/>
      <c r="T71" s="32"/>
      <c r="U71" s="32"/>
      <c r="X71" s="32"/>
      <c r="Y71" s="32"/>
      <c r="Z71" s="32"/>
    </row>
    <row r="72" ht="12.75">
      <c r="B72" t="s">
        <v>212</v>
      </c>
    </row>
    <row r="73" spans="1:2" ht="12.75">
      <c r="A73" s="19"/>
      <c r="B73" t="s">
        <v>213</v>
      </c>
    </row>
    <row r="74" spans="9:26" s="26" customFormat="1" ht="12.75">
      <c r="I74" s="32"/>
      <c r="J74" s="32"/>
      <c r="K74" s="32"/>
      <c r="L74" s="32"/>
      <c r="M74" s="32"/>
      <c r="N74" s="32"/>
      <c r="O74" s="32"/>
      <c r="P74" s="32"/>
      <c r="Q74" s="39"/>
      <c r="R74" s="32"/>
      <c r="S74" s="32"/>
      <c r="T74" s="32"/>
      <c r="U74" s="32"/>
      <c r="X74" s="32"/>
      <c r="Y74" s="32"/>
      <c r="Z74" s="32"/>
    </row>
    <row r="75" spans="9:26" s="26" customFormat="1" ht="12.75">
      <c r="I75" s="32"/>
      <c r="J75" s="32"/>
      <c r="K75" s="32"/>
      <c r="L75" s="32"/>
      <c r="M75" s="32"/>
      <c r="N75" s="32"/>
      <c r="O75" s="32"/>
      <c r="P75" s="32"/>
      <c r="Q75" s="39"/>
      <c r="R75" s="32"/>
      <c r="S75" s="32"/>
      <c r="T75" s="32"/>
      <c r="U75" s="32"/>
      <c r="X75" s="32"/>
      <c r="Y75" s="32"/>
      <c r="Z75" s="32"/>
    </row>
    <row r="76" spans="9:26" s="26" customFormat="1" ht="12.75">
      <c r="I76" s="32"/>
      <c r="J76" s="32"/>
      <c r="K76" s="32"/>
      <c r="L76" s="32"/>
      <c r="M76" s="32"/>
      <c r="N76" s="32"/>
      <c r="O76" s="32"/>
      <c r="P76" s="32"/>
      <c r="Q76" s="39"/>
      <c r="R76" s="32"/>
      <c r="S76" s="32"/>
      <c r="T76" s="32"/>
      <c r="U76" s="32"/>
      <c r="X76" s="32"/>
      <c r="Y76" s="32"/>
      <c r="Z76" s="32"/>
    </row>
    <row r="77" spans="9:26" s="26" customFormat="1" ht="12.75">
      <c r="I77" s="32"/>
      <c r="J77" s="32"/>
      <c r="K77" s="32"/>
      <c r="L77" s="32"/>
      <c r="M77" s="32"/>
      <c r="N77" s="32"/>
      <c r="O77" s="32"/>
      <c r="P77" s="32"/>
      <c r="Q77" s="39"/>
      <c r="R77" s="32"/>
      <c r="S77" s="32"/>
      <c r="T77" s="32"/>
      <c r="U77" s="32"/>
      <c r="X77" s="32"/>
      <c r="Y77" s="32"/>
      <c r="Z77" s="32"/>
    </row>
    <row r="78" spans="9:26" s="26" customFormat="1" ht="12.75">
      <c r="I78" s="32"/>
      <c r="J78" s="32"/>
      <c r="K78" s="32"/>
      <c r="L78" s="32"/>
      <c r="M78" s="32"/>
      <c r="N78" s="32"/>
      <c r="O78" s="32"/>
      <c r="P78" s="32"/>
      <c r="Q78" s="39"/>
      <c r="R78" s="32"/>
      <c r="S78" s="32"/>
      <c r="T78" s="32"/>
      <c r="U78" s="32"/>
      <c r="X78" s="32"/>
      <c r="Y78" s="32"/>
      <c r="Z78" s="32"/>
    </row>
    <row r="79" spans="9:26" s="26" customFormat="1" ht="12.75">
      <c r="I79" s="32"/>
      <c r="J79" s="32"/>
      <c r="K79" s="32"/>
      <c r="L79" s="32"/>
      <c r="M79" s="32"/>
      <c r="N79" s="32"/>
      <c r="O79" s="32"/>
      <c r="P79" s="32"/>
      <c r="Q79" s="39"/>
      <c r="R79" s="32"/>
      <c r="S79" s="32"/>
      <c r="T79" s="32"/>
      <c r="U79" s="32"/>
      <c r="X79" s="32"/>
      <c r="Y79" s="32"/>
      <c r="Z79" s="32"/>
    </row>
    <row r="80" spans="9:26" s="26" customFormat="1" ht="12.75">
      <c r="I80" s="32"/>
      <c r="J80" s="32"/>
      <c r="K80" s="32"/>
      <c r="L80" s="32"/>
      <c r="M80" s="32"/>
      <c r="N80" s="32"/>
      <c r="O80" s="32"/>
      <c r="P80" s="32"/>
      <c r="Q80" s="39"/>
      <c r="R80" s="32"/>
      <c r="S80" s="32"/>
      <c r="T80" s="32"/>
      <c r="U80" s="32"/>
      <c r="X80" s="32"/>
      <c r="Y80" s="32"/>
      <c r="Z80" s="32"/>
    </row>
    <row r="81" spans="9:26" s="26" customFormat="1" ht="12.75">
      <c r="I81" s="32"/>
      <c r="J81" s="32"/>
      <c r="K81" s="32"/>
      <c r="L81" s="32"/>
      <c r="M81" s="32"/>
      <c r="N81" s="32"/>
      <c r="O81" s="32"/>
      <c r="P81" s="32"/>
      <c r="Q81" s="39"/>
      <c r="R81" s="32"/>
      <c r="S81" s="32"/>
      <c r="T81" s="32"/>
      <c r="U81" s="32"/>
      <c r="X81" s="32"/>
      <c r="Y81" s="32"/>
      <c r="Z81" s="32"/>
    </row>
    <row r="82" spans="9:26" s="26" customFormat="1" ht="12.75">
      <c r="I82" s="32"/>
      <c r="J82" s="32"/>
      <c r="K82" s="32"/>
      <c r="L82" s="32"/>
      <c r="M82" s="32"/>
      <c r="N82" s="32"/>
      <c r="O82" s="32"/>
      <c r="P82" s="32"/>
      <c r="Q82" s="39"/>
      <c r="R82" s="32"/>
      <c r="S82" s="32"/>
      <c r="T82" s="32"/>
      <c r="U82" s="32"/>
      <c r="X82" s="32"/>
      <c r="Y82" s="32"/>
      <c r="Z82" s="32"/>
    </row>
    <row r="83" spans="9:26" s="26" customFormat="1" ht="12.75">
      <c r="I83" s="32"/>
      <c r="J83" s="32"/>
      <c r="K83" s="32"/>
      <c r="L83" s="32"/>
      <c r="M83" s="32"/>
      <c r="N83" s="32"/>
      <c r="O83" s="32"/>
      <c r="P83" s="32"/>
      <c r="Q83" s="39"/>
      <c r="R83" s="32"/>
      <c r="S83" s="32"/>
      <c r="T83" s="32"/>
      <c r="U83" s="32"/>
      <c r="X83" s="32"/>
      <c r="Y83" s="32"/>
      <c r="Z83" s="32"/>
    </row>
    <row r="84" spans="9:26" s="26" customFormat="1" ht="12.75">
      <c r="I84" s="32"/>
      <c r="J84" s="32"/>
      <c r="K84" s="32"/>
      <c r="L84" s="32"/>
      <c r="M84" s="32"/>
      <c r="N84" s="32"/>
      <c r="O84" s="32"/>
      <c r="P84" s="32"/>
      <c r="Q84" s="39"/>
      <c r="R84" s="32"/>
      <c r="S84" s="32"/>
      <c r="T84" s="32"/>
      <c r="U84" s="32"/>
      <c r="X84" s="32"/>
      <c r="Y84" s="32"/>
      <c r="Z84" s="32"/>
    </row>
  </sheetData>
  <mergeCells count="3">
    <mergeCell ref="A1:I1"/>
    <mergeCell ref="A3:I3"/>
    <mergeCell ref="B2:I2"/>
  </mergeCells>
  <printOptions/>
  <pageMargins left="1" right="0" top="0.75" bottom="0" header="0.5" footer="0.5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40"/>
  <sheetViews>
    <sheetView workbookViewId="0" topLeftCell="A51">
      <selection activeCell="AT42" sqref="AT42"/>
    </sheetView>
  </sheetViews>
  <sheetFormatPr defaultColWidth="9.140625" defaultRowHeight="12.75"/>
  <cols>
    <col min="1" max="23" width="1.7109375" style="19" customWidth="1"/>
    <col min="24" max="24" width="20.57421875" style="19" customWidth="1"/>
    <col min="25" max="25" width="11.421875" style="24" hidden="1" customWidth="1"/>
    <col min="26" max="26" width="0.85546875" style="24" hidden="1" customWidth="1"/>
    <col min="27" max="27" width="11.421875" style="24" hidden="1" customWidth="1"/>
    <col min="28" max="28" width="0.85546875" style="24" hidden="1" customWidth="1"/>
    <col min="29" max="29" width="11.421875" style="24" hidden="1" customWidth="1"/>
    <col min="30" max="30" width="0.85546875" style="24" hidden="1" customWidth="1"/>
    <col min="31" max="31" width="11.421875" style="24" hidden="1" customWidth="1"/>
    <col min="32" max="32" width="0.85546875" style="24" hidden="1" customWidth="1"/>
    <col min="33" max="33" width="11.421875" style="24" hidden="1" customWidth="1"/>
    <col min="34" max="34" width="0.85546875" style="24" hidden="1" customWidth="1"/>
    <col min="35" max="35" width="10.28125" style="24" hidden="1" customWidth="1"/>
    <col min="36" max="36" width="0.85546875" style="24" hidden="1" customWidth="1"/>
    <col min="37" max="37" width="12.57421875" style="70" hidden="1" customWidth="1"/>
    <col min="38" max="38" width="0.85546875" style="24" hidden="1" customWidth="1"/>
    <col min="39" max="39" width="12.7109375" style="24" hidden="1" customWidth="1"/>
    <col min="40" max="40" width="0.85546875" style="24" customWidth="1"/>
    <col min="41" max="41" width="2.7109375" style="24" hidden="1" customWidth="1"/>
    <col min="42" max="42" width="1.7109375" style="24" hidden="1" customWidth="1"/>
    <col min="43" max="43" width="11.421875" style="24" hidden="1" customWidth="1"/>
    <col min="44" max="45" width="1.7109375" style="24" customWidth="1"/>
    <col min="46" max="46" width="11.7109375" style="24" customWidth="1"/>
    <col min="47" max="109" width="1.7109375" style="24" customWidth="1"/>
    <col min="110" max="16384" width="1.7109375" style="19" customWidth="1"/>
  </cols>
  <sheetData>
    <row r="1" spans="1:56" ht="20.25" customHeight="1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</row>
    <row r="2" spans="1:56" ht="12.75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</row>
    <row r="3" spans="1:109" s="72" customFormat="1" ht="15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</row>
    <row r="4" ht="12.75">
      <c r="A4" s="71"/>
    </row>
    <row r="5" spans="1:109" s="26" customFormat="1" ht="12.75">
      <c r="A5" s="108" t="s">
        <v>167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</row>
    <row r="6" spans="1:109" s="26" customFormat="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</row>
    <row r="7" spans="25:109" s="26" customFormat="1" ht="12.75" customHeight="1">
      <c r="Y7" s="76"/>
      <c r="Z7" s="77"/>
      <c r="AA7" s="78"/>
      <c r="AB7" s="77"/>
      <c r="AC7" s="77"/>
      <c r="AD7" s="77"/>
      <c r="AE7" s="77"/>
      <c r="AF7" s="77"/>
      <c r="AG7" s="77"/>
      <c r="AH7" s="77"/>
      <c r="AI7" s="78"/>
      <c r="AJ7" s="77"/>
      <c r="AK7" s="105" t="s">
        <v>46</v>
      </c>
      <c r="AL7" s="77"/>
      <c r="AM7" s="79"/>
      <c r="AN7" s="32"/>
      <c r="AO7" s="32"/>
      <c r="AP7" s="32"/>
      <c r="AQ7" s="32"/>
      <c r="AR7" s="32"/>
      <c r="AS7" s="32"/>
      <c r="AT7" s="29" t="s">
        <v>168</v>
      </c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</row>
    <row r="8" spans="25:109" s="26" customFormat="1" ht="12.75">
      <c r="Y8" s="27" t="s">
        <v>42</v>
      </c>
      <c r="Z8" s="77"/>
      <c r="AA8" s="107" t="s">
        <v>43</v>
      </c>
      <c r="AB8" s="107"/>
      <c r="AC8" s="107"/>
      <c r="AD8" s="107"/>
      <c r="AE8" s="107"/>
      <c r="AF8" s="107"/>
      <c r="AG8" s="107"/>
      <c r="AH8" s="107"/>
      <c r="AI8" s="107"/>
      <c r="AJ8" s="77"/>
      <c r="AK8" s="106"/>
      <c r="AL8" s="77"/>
      <c r="AM8" s="80"/>
      <c r="AN8" s="32"/>
      <c r="AO8" s="32"/>
      <c r="AP8" s="32"/>
      <c r="AQ8" s="32"/>
      <c r="AR8" s="32"/>
      <c r="AS8" s="32"/>
      <c r="AT8" s="29" t="s">
        <v>5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</row>
    <row r="9" spans="29:109" s="26" customFormat="1" ht="12.75" customHeight="1">
      <c r="AC9" s="27" t="s">
        <v>45</v>
      </c>
      <c r="AH9" s="27"/>
      <c r="AJ9" s="77"/>
      <c r="AK9" s="106"/>
      <c r="AL9" s="77"/>
      <c r="AM9" s="80"/>
      <c r="AN9" s="32"/>
      <c r="AO9" s="32"/>
      <c r="AP9" s="32"/>
      <c r="AQ9" s="32"/>
      <c r="AR9" s="32"/>
      <c r="AS9" s="32"/>
      <c r="AT9" s="29" t="s">
        <v>169</v>
      </c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</row>
    <row r="10" spans="25:109" s="26" customFormat="1" ht="12.75" customHeight="1">
      <c r="Y10" s="27"/>
      <c r="AA10" s="27" t="s">
        <v>45</v>
      </c>
      <c r="AC10" s="27" t="s">
        <v>50</v>
      </c>
      <c r="AE10" s="27"/>
      <c r="AF10" s="27"/>
      <c r="AG10" s="27" t="s">
        <v>51</v>
      </c>
      <c r="AH10" s="27"/>
      <c r="AI10" s="27" t="s">
        <v>45</v>
      </c>
      <c r="AJ10" s="77"/>
      <c r="AK10" s="106"/>
      <c r="AL10" s="77"/>
      <c r="AM10" s="80"/>
      <c r="AN10" s="32"/>
      <c r="AO10" s="32"/>
      <c r="AP10" s="32"/>
      <c r="AQ10" s="32"/>
      <c r="AR10" s="32"/>
      <c r="AS10" s="32"/>
      <c r="AT10" s="29" t="s">
        <v>12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</row>
    <row r="11" spans="25:109" s="26" customFormat="1" ht="12.75">
      <c r="Y11" s="27" t="s">
        <v>57</v>
      </c>
      <c r="AA11" s="27" t="s">
        <v>58</v>
      </c>
      <c r="AC11" s="27" t="s">
        <v>59</v>
      </c>
      <c r="AE11" s="27" t="s">
        <v>60</v>
      </c>
      <c r="AF11" s="27"/>
      <c r="AG11" s="27" t="s">
        <v>61</v>
      </c>
      <c r="AI11" s="27" t="s">
        <v>62</v>
      </c>
      <c r="AJ11" s="77"/>
      <c r="AK11" s="81" t="s">
        <v>114</v>
      </c>
      <c r="AL11" s="76"/>
      <c r="AM11" s="27" t="s">
        <v>115</v>
      </c>
      <c r="AN11" s="32"/>
      <c r="AO11" s="32"/>
      <c r="AP11" s="32"/>
      <c r="AQ11" s="82" t="s">
        <v>12</v>
      </c>
      <c r="AR11" s="32"/>
      <c r="AS11" s="32"/>
      <c r="AT11" s="29" t="s">
        <v>170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</row>
    <row r="12" spans="2:109" s="26" customFormat="1" ht="12.75">
      <c r="B12" s="2" t="s">
        <v>116</v>
      </c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74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</row>
    <row r="13" spans="2:109" s="26" customFormat="1" ht="12.75">
      <c r="B13" s="26" t="s">
        <v>117</v>
      </c>
      <c r="Y13" s="32">
        <v>25880</v>
      </c>
      <c r="Z13" s="32"/>
      <c r="AA13" s="32">
        <v>859607</v>
      </c>
      <c r="AB13" s="32"/>
      <c r="AC13" s="32">
        <v>239834</v>
      </c>
      <c r="AD13" s="32"/>
      <c r="AE13" s="32">
        <v>534384</v>
      </c>
      <c r="AF13" s="32"/>
      <c r="AG13" s="32">
        <v>100000</v>
      </c>
      <c r="AH13" s="32"/>
      <c r="AI13" s="32">
        <v>-2502</v>
      </c>
      <c r="AJ13" s="32"/>
      <c r="AK13" s="74">
        <f>-9628-19444-267+23600</f>
        <v>-5739</v>
      </c>
      <c r="AL13" s="32"/>
      <c r="AM13" s="32">
        <f>SUM(Y13:AI13)+AK13</f>
        <v>1751464</v>
      </c>
      <c r="AN13" s="32"/>
      <c r="AO13" s="32"/>
      <c r="AP13" s="32"/>
      <c r="AQ13" s="32">
        <v>344431</v>
      </c>
      <c r="AR13" s="32"/>
      <c r="AS13" s="32"/>
      <c r="AT13" s="32">
        <v>424</v>
      </c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</row>
    <row r="14" spans="2:109" s="26" customFormat="1" ht="12.75">
      <c r="B14" s="26" t="s">
        <v>118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74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</row>
    <row r="15" spans="3:109" s="26" customFormat="1" ht="12.75">
      <c r="C15" s="26" t="s">
        <v>32</v>
      </c>
      <c r="Y15" s="32">
        <v>0</v>
      </c>
      <c r="Z15" s="32"/>
      <c r="AA15" s="32">
        <v>60745</v>
      </c>
      <c r="AB15" s="32"/>
      <c r="AC15" s="32">
        <v>3421</v>
      </c>
      <c r="AD15" s="32"/>
      <c r="AE15" s="32">
        <v>41562</v>
      </c>
      <c r="AF15" s="32"/>
      <c r="AG15" s="32">
        <v>42380</v>
      </c>
      <c r="AH15" s="32"/>
      <c r="AI15" s="32">
        <v>0</v>
      </c>
      <c r="AJ15" s="32"/>
      <c r="AK15" s="74"/>
      <c r="AL15" s="32"/>
      <c r="AM15" s="32">
        <f aca="true" t="shared" si="0" ref="AM15:AM22">SUM(Y15:AI15)+AK15</f>
        <v>148108</v>
      </c>
      <c r="AN15" s="32"/>
      <c r="AO15" s="32"/>
      <c r="AP15" s="32"/>
      <c r="AQ15" s="32">
        <f>9208+1935+52187</f>
        <v>63330</v>
      </c>
      <c r="AR15" s="32"/>
      <c r="AS15" s="32"/>
      <c r="AT15" s="32">
        <v>63</v>
      </c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</row>
    <row r="16" spans="3:109" s="26" customFormat="1" ht="12.75">
      <c r="C16" s="26" t="s">
        <v>119</v>
      </c>
      <c r="Y16" s="32">
        <v>0</v>
      </c>
      <c r="Z16" s="32"/>
      <c r="AA16" s="32">
        <v>0</v>
      </c>
      <c r="AB16" s="32"/>
      <c r="AC16" s="32">
        <v>0</v>
      </c>
      <c r="AD16" s="32"/>
      <c r="AE16" s="32">
        <v>0</v>
      </c>
      <c r="AF16" s="32"/>
      <c r="AG16" s="32">
        <v>0</v>
      </c>
      <c r="AH16" s="32"/>
      <c r="AI16" s="32">
        <v>0</v>
      </c>
      <c r="AJ16" s="32"/>
      <c r="AK16" s="74">
        <v>9628</v>
      </c>
      <c r="AL16" s="32"/>
      <c r="AM16" s="32">
        <f t="shared" si="0"/>
        <v>9628</v>
      </c>
      <c r="AN16" s="32"/>
      <c r="AO16" s="32"/>
      <c r="AP16" s="32"/>
      <c r="AQ16" s="32">
        <v>5567</v>
      </c>
      <c r="AR16" s="32"/>
      <c r="AS16" s="32"/>
      <c r="AT16" s="32">
        <v>6</v>
      </c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</row>
    <row r="17" spans="3:109" s="26" customFormat="1" ht="12.75">
      <c r="C17" s="26" t="s">
        <v>120</v>
      </c>
      <c r="Y17" s="32">
        <v>0</v>
      </c>
      <c r="Z17" s="32"/>
      <c r="AA17" s="32">
        <v>0</v>
      </c>
      <c r="AB17" s="32"/>
      <c r="AC17" s="32">
        <v>0</v>
      </c>
      <c r="AD17" s="32"/>
      <c r="AE17" s="32">
        <v>0</v>
      </c>
      <c r="AF17" s="32"/>
      <c r="AG17" s="32">
        <v>0</v>
      </c>
      <c r="AH17" s="32"/>
      <c r="AI17" s="32">
        <v>0</v>
      </c>
      <c r="AJ17" s="32"/>
      <c r="AK17" s="74">
        <f>19444+267</f>
        <v>19711</v>
      </c>
      <c r="AL17" s="32"/>
      <c r="AM17" s="32">
        <f t="shared" si="0"/>
        <v>19711</v>
      </c>
      <c r="AN17" s="32"/>
      <c r="AO17" s="32"/>
      <c r="AP17" s="32"/>
      <c r="AQ17" s="39">
        <v>0</v>
      </c>
      <c r="AR17" s="32"/>
      <c r="AS17" s="32"/>
      <c r="AT17" s="90" t="s">
        <v>139</v>
      </c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</row>
    <row r="18" spans="3:109" s="26" customFormat="1" ht="12.75">
      <c r="C18" s="26" t="s">
        <v>121</v>
      </c>
      <c r="Y18" s="32">
        <v>-32180</v>
      </c>
      <c r="Z18" s="32"/>
      <c r="AA18" s="32">
        <v>-7289</v>
      </c>
      <c r="AB18" s="32"/>
      <c r="AC18" s="32">
        <v>0</v>
      </c>
      <c r="AD18" s="32"/>
      <c r="AE18" s="32">
        <v>0</v>
      </c>
      <c r="AF18" s="32"/>
      <c r="AG18" s="32">
        <v>0</v>
      </c>
      <c r="AH18" s="32"/>
      <c r="AI18" s="32">
        <v>0</v>
      </c>
      <c r="AJ18" s="32"/>
      <c r="AK18" s="74"/>
      <c r="AL18" s="32"/>
      <c r="AM18" s="32">
        <f t="shared" si="0"/>
        <v>-39469</v>
      </c>
      <c r="AN18" s="32"/>
      <c r="AO18" s="32"/>
      <c r="AP18" s="32"/>
      <c r="AQ18" s="32">
        <v>-12817</v>
      </c>
      <c r="AR18" s="32"/>
      <c r="AS18" s="32"/>
      <c r="AT18" s="32">
        <v>-13</v>
      </c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</row>
    <row r="19" spans="3:109" s="26" customFormat="1" ht="12.75">
      <c r="C19" s="26" t="s">
        <v>122</v>
      </c>
      <c r="Y19" s="32">
        <v>0</v>
      </c>
      <c r="Z19" s="32"/>
      <c r="AA19" s="32">
        <v>-3090</v>
      </c>
      <c r="AB19" s="32"/>
      <c r="AC19" s="32">
        <v>0</v>
      </c>
      <c r="AD19" s="32"/>
      <c r="AE19" s="32">
        <v>0</v>
      </c>
      <c r="AF19" s="32"/>
      <c r="AG19" s="32"/>
      <c r="AH19" s="32"/>
      <c r="AI19" s="32">
        <v>0</v>
      </c>
      <c r="AJ19" s="32"/>
      <c r="AK19" s="74"/>
      <c r="AL19" s="32"/>
      <c r="AM19" s="32">
        <f t="shared" si="0"/>
        <v>-3090</v>
      </c>
      <c r="AN19" s="32"/>
      <c r="AO19" s="32"/>
      <c r="AP19" s="32"/>
      <c r="AQ19" s="32">
        <v>-1000</v>
      </c>
      <c r="AR19" s="32"/>
      <c r="AS19" s="32"/>
      <c r="AT19" s="32">
        <v>-1</v>
      </c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</row>
    <row r="20" spans="3:109" s="26" customFormat="1" ht="12.75">
      <c r="C20" s="26" t="s">
        <v>123</v>
      </c>
      <c r="Y20" s="32">
        <v>0</v>
      </c>
      <c r="Z20" s="32"/>
      <c r="AA20" s="32">
        <v>56013</v>
      </c>
      <c r="AB20" s="32"/>
      <c r="AC20" s="32">
        <v>0</v>
      </c>
      <c r="AD20" s="32"/>
      <c r="AE20" s="32">
        <v>1573</v>
      </c>
      <c r="AF20" s="32"/>
      <c r="AG20" s="32">
        <v>8098</v>
      </c>
      <c r="AH20" s="32"/>
      <c r="AI20" s="32">
        <v>0</v>
      </c>
      <c r="AJ20" s="32"/>
      <c r="AK20" s="74"/>
      <c r="AL20" s="32"/>
      <c r="AM20" s="32">
        <f t="shared" si="0"/>
        <v>65684</v>
      </c>
      <c r="AN20" s="32"/>
      <c r="AO20" s="32"/>
      <c r="AP20" s="32"/>
      <c r="AQ20" s="32">
        <v>28916</v>
      </c>
      <c r="AR20" s="32"/>
      <c r="AS20" s="32"/>
      <c r="AT20" s="32">
        <v>29</v>
      </c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</row>
    <row r="21" spans="3:109" s="26" customFormat="1" ht="12.75">
      <c r="C21" s="26" t="s">
        <v>124</v>
      </c>
      <c r="Y21" s="32">
        <v>0</v>
      </c>
      <c r="Z21" s="32"/>
      <c r="AA21" s="32">
        <v>282</v>
      </c>
      <c r="AB21" s="32"/>
      <c r="AC21" s="32">
        <v>0</v>
      </c>
      <c r="AD21" s="32"/>
      <c r="AE21" s="32">
        <v>0</v>
      </c>
      <c r="AF21" s="32"/>
      <c r="AG21" s="32">
        <v>0</v>
      </c>
      <c r="AH21" s="32"/>
      <c r="AI21" s="32">
        <v>0</v>
      </c>
      <c r="AJ21" s="32"/>
      <c r="AK21" s="74"/>
      <c r="AL21" s="32"/>
      <c r="AM21" s="32">
        <f t="shared" si="0"/>
        <v>282</v>
      </c>
      <c r="AN21" s="32"/>
      <c r="AO21" s="32"/>
      <c r="AP21" s="32"/>
      <c r="AQ21" s="32">
        <v>0</v>
      </c>
      <c r="AR21" s="32"/>
      <c r="AS21" s="32"/>
      <c r="AT21" s="32">
        <v>-80</v>
      </c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</row>
    <row r="22" spans="3:109" s="26" customFormat="1" ht="12.75">
      <c r="C22" s="26" t="s">
        <v>125</v>
      </c>
      <c r="Y22" s="41">
        <v>0</v>
      </c>
      <c r="Z22" s="32"/>
      <c r="AA22" s="41">
        <v>0</v>
      </c>
      <c r="AB22" s="32"/>
      <c r="AC22" s="41">
        <v>0</v>
      </c>
      <c r="AD22" s="32"/>
      <c r="AE22" s="41">
        <v>85384</v>
      </c>
      <c r="AF22" s="32"/>
      <c r="AG22" s="41">
        <v>0</v>
      </c>
      <c r="AH22" s="32"/>
      <c r="AI22" s="41">
        <v>0</v>
      </c>
      <c r="AJ22" s="32"/>
      <c r="AK22" s="74"/>
      <c r="AL22" s="32"/>
      <c r="AM22" s="41">
        <f t="shared" si="0"/>
        <v>85384</v>
      </c>
      <c r="AN22" s="32"/>
      <c r="AO22" s="32"/>
      <c r="AP22" s="32"/>
      <c r="AQ22" s="41">
        <v>10682</v>
      </c>
      <c r="AR22" s="32"/>
      <c r="AS22" s="32"/>
      <c r="AT22" s="41">
        <v>11</v>
      </c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</row>
    <row r="23" spans="2:109" s="26" customFormat="1" ht="12.75">
      <c r="B23" s="26" t="s">
        <v>126</v>
      </c>
      <c r="Y23" s="32">
        <f>SUM(Y13:Y22)</f>
        <v>-6300</v>
      </c>
      <c r="Z23" s="32"/>
      <c r="AA23" s="32">
        <f>SUM(AA13:AA22)</f>
        <v>966268</v>
      </c>
      <c r="AB23" s="32"/>
      <c r="AC23" s="32">
        <f>SUM(AC13:AC22)</f>
        <v>243255</v>
      </c>
      <c r="AD23" s="32"/>
      <c r="AE23" s="32">
        <f>SUM(AE13:AE22)</f>
        <v>662903</v>
      </c>
      <c r="AF23" s="32"/>
      <c r="AG23" s="32">
        <f>SUM(AG13:AG22)</f>
        <v>150478</v>
      </c>
      <c r="AH23" s="32"/>
      <c r="AI23" s="32">
        <f>SUM(AI12:AI22)</f>
        <v>-2502</v>
      </c>
      <c r="AJ23" s="32"/>
      <c r="AK23" s="74"/>
      <c r="AL23" s="32"/>
      <c r="AM23" s="32">
        <f>SUM(AM13:AM22)</f>
        <v>2037702</v>
      </c>
      <c r="AN23" s="32"/>
      <c r="AO23" s="32"/>
      <c r="AP23" s="32"/>
      <c r="AQ23" s="32">
        <f>SUM(AQ13:AQ22)</f>
        <v>439109</v>
      </c>
      <c r="AR23" s="32"/>
      <c r="AS23" s="32"/>
      <c r="AT23" s="32">
        <f>SUM(AT13:AT22)</f>
        <v>439</v>
      </c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</row>
    <row r="24" spans="25:109" s="26" customFormat="1" ht="12.75"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74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</row>
    <row r="25" spans="3:109" s="26" customFormat="1" ht="12.75">
      <c r="C25" s="26" t="s">
        <v>127</v>
      </c>
      <c r="Y25" s="32">
        <v>0</v>
      </c>
      <c r="Z25" s="32"/>
      <c r="AA25" s="32">
        <v>-409295</v>
      </c>
      <c r="AB25" s="32"/>
      <c r="AC25" s="32">
        <v>-1386</v>
      </c>
      <c r="AD25" s="32"/>
      <c r="AE25" s="32">
        <v>24644</v>
      </c>
      <c r="AF25" s="32"/>
      <c r="AG25" s="32">
        <v>346</v>
      </c>
      <c r="AH25" s="32"/>
      <c r="AI25" s="32">
        <v>0</v>
      </c>
      <c r="AJ25" s="32"/>
      <c r="AK25" s="74"/>
      <c r="AL25" s="32"/>
      <c r="AM25" s="32">
        <f>SUM(Y25:AI25)+AK25</f>
        <v>-385691</v>
      </c>
      <c r="AN25" s="32"/>
      <c r="AO25" s="32"/>
      <c r="AP25" s="32"/>
      <c r="AQ25" s="74">
        <v>-82304</v>
      </c>
      <c r="AR25" s="32"/>
      <c r="AS25" s="32"/>
      <c r="AT25" s="32">
        <v>-82</v>
      </c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</row>
    <row r="26" spans="3:109" s="26" customFormat="1" ht="12.75">
      <c r="C26" s="26" t="s">
        <v>128</v>
      </c>
      <c r="Y26" s="32">
        <v>713</v>
      </c>
      <c r="Z26" s="32"/>
      <c r="AA26" s="32">
        <v>-2552197</v>
      </c>
      <c r="AB26" s="32"/>
      <c r="AC26" s="32">
        <v>-71923</v>
      </c>
      <c r="AD26" s="32"/>
      <c r="AE26" s="32">
        <v>143041</v>
      </c>
      <c r="AF26" s="32"/>
      <c r="AG26" s="32">
        <v>66379</v>
      </c>
      <c r="AH26" s="32"/>
      <c r="AI26" s="32">
        <v>237</v>
      </c>
      <c r="AJ26" s="32"/>
      <c r="AK26" s="74"/>
      <c r="AL26" s="32"/>
      <c r="AM26" s="32">
        <f>SUM(Y26:AI26)+AK26</f>
        <v>-2413750</v>
      </c>
      <c r="AN26" s="32"/>
      <c r="AO26" s="32"/>
      <c r="AP26" s="32"/>
      <c r="AQ26" s="74">
        <f>-1563131+75453</f>
        <v>-1487678</v>
      </c>
      <c r="AR26" s="32"/>
      <c r="AS26" s="32"/>
      <c r="AT26" s="32">
        <v>-1517</v>
      </c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</row>
    <row r="27" spans="3:109" s="26" customFormat="1" ht="12.75">
      <c r="C27" s="26" t="s">
        <v>129</v>
      </c>
      <c r="Y27" s="32">
        <v>-73864</v>
      </c>
      <c r="Z27" s="32"/>
      <c r="AA27" s="32">
        <v>1866881</v>
      </c>
      <c r="AB27" s="32"/>
      <c r="AC27" s="32">
        <v>-145011</v>
      </c>
      <c r="AD27" s="32"/>
      <c r="AE27" s="32">
        <v>-66816</v>
      </c>
      <c r="AF27" s="32"/>
      <c r="AG27" s="32">
        <v>-117611</v>
      </c>
      <c r="AH27" s="32"/>
      <c r="AI27" s="32">
        <v>2065</v>
      </c>
      <c r="AJ27" s="32"/>
      <c r="AK27" s="66">
        <v>-23600</v>
      </c>
      <c r="AL27" s="32"/>
      <c r="AM27" s="32">
        <f>SUM(Y27:AI27)+AK27</f>
        <v>1442044</v>
      </c>
      <c r="AN27" s="32"/>
      <c r="AO27" s="32"/>
      <c r="AP27" s="32"/>
      <c r="AQ27" s="32">
        <f>379061+117250</f>
        <v>496311</v>
      </c>
      <c r="AR27" s="32"/>
      <c r="AS27" s="32"/>
      <c r="AT27" s="32">
        <v>412</v>
      </c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</row>
    <row r="28" spans="3:109" s="26" customFormat="1" ht="12.75">
      <c r="C28" s="26" t="s">
        <v>130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66"/>
      <c r="AL28" s="32"/>
      <c r="AM28" s="32"/>
      <c r="AN28" s="32"/>
      <c r="AO28" s="32"/>
      <c r="AP28" s="32"/>
      <c r="AQ28" s="32">
        <v>29561</v>
      </c>
      <c r="AR28" s="32"/>
      <c r="AS28" s="32"/>
      <c r="AT28" s="41">
        <v>29</v>
      </c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</row>
    <row r="29" spans="3:109" s="26" customFormat="1" ht="12.75" hidden="1">
      <c r="C29" s="26" t="s">
        <v>131</v>
      </c>
      <c r="Y29" s="32">
        <v>0</v>
      </c>
      <c r="Z29" s="32"/>
      <c r="AA29" s="32">
        <v>-35105</v>
      </c>
      <c r="AB29" s="32"/>
      <c r="AC29" s="32">
        <v>113581</v>
      </c>
      <c r="AD29" s="32"/>
      <c r="AE29" s="32">
        <v>-650428</v>
      </c>
      <c r="AF29" s="32"/>
      <c r="AG29" s="32">
        <v>67998</v>
      </c>
      <c r="AH29" s="32"/>
      <c r="AI29" s="32">
        <v>200</v>
      </c>
      <c r="AJ29" s="32"/>
      <c r="AK29" s="74">
        <v>303568</v>
      </c>
      <c r="AL29" s="32"/>
      <c r="AM29" s="32">
        <f>SUM(Y29:AI29)+AK29</f>
        <v>-200186</v>
      </c>
      <c r="AN29" s="32"/>
      <c r="AO29" s="32"/>
      <c r="AP29" s="32"/>
      <c r="AQ29" s="32">
        <v>0</v>
      </c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</row>
    <row r="30" spans="3:109" s="26" customFormat="1" ht="12.75" hidden="1">
      <c r="C30" s="26" t="s">
        <v>91</v>
      </c>
      <c r="X30" s="32"/>
      <c r="Y30" s="41">
        <v>303568</v>
      </c>
      <c r="Z30" s="32"/>
      <c r="AA30" s="41">
        <v>0</v>
      </c>
      <c r="AB30" s="32"/>
      <c r="AC30" s="41">
        <v>0</v>
      </c>
      <c r="AD30" s="32"/>
      <c r="AE30" s="41">
        <v>0</v>
      </c>
      <c r="AF30" s="32"/>
      <c r="AG30" s="41">
        <v>0</v>
      </c>
      <c r="AH30" s="32"/>
      <c r="AI30" s="41">
        <v>0</v>
      </c>
      <c r="AJ30" s="32"/>
      <c r="AK30" s="74">
        <v>-303568</v>
      </c>
      <c r="AL30" s="32"/>
      <c r="AM30" s="41">
        <f>SUM(Y30:AI30)+AK30</f>
        <v>0</v>
      </c>
      <c r="AN30" s="32"/>
      <c r="AO30" s="32"/>
      <c r="AP30" s="32"/>
      <c r="AQ30" s="41">
        <v>0</v>
      </c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</row>
    <row r="31" spans="2:109" s="26" customFormat="1" ht="12.75">
      <c r="B31" s="26" t="s">
        <v>132</v>
      </c>
      <c r="Y31" s="32">
        <f>SUM(Y23:Y30)</f>
        <v>224117</v>
      </c>
      <c r="Z31" s="32"/>
      <c r="AA31" s="32">
        <f>SUM(AA23:AA30)</f>
        <v>-163448</v>
      </c>
      <c r="AB31" s="32"/>
      <c r="AC31" s="32">
        <f>SUM(AC23:AC30)</f>
        <v>138516</v>
      </c>
      <c r="AD31" s="32"/>
      <c r="AE31" s="32">
        <f>SUM(AE23:AE30)</f>
        <v>113344</v>
      </c>
      <c r="AF31" s="32"/>
      <c r="AG31" s="32">
        <f>SUM(AG23:AG30)</f>
        <v>167590</v>
      </c>
      <c r="AH31" s="32"/>
      <c r="AI31" s="32">
        <f>SUM(AI23:AI30)</f>
        <v>0</v>
      </c>
      <c r="AJ31" s="32"/>
      <c r="AK31" s="74"/>
      <c r="AL31" s="32"/>
      <c r="AM31" s="32">
        <f>SUM(AM23:AM30)</f>
        <v>480119</v>
      </c>
      <c r="AN31" s="32"/>
      <c r="AO31" s="32"/>
      <c r="AP31" s="32"/>
      <c r="AQ31" s="32">
        <f>SUM(AQ23:AQ30)</f>
        <v>-605001</v>
      </c>
      <c r="AR31" s="32"/>
      <c r="AS31" s="32"/>
      <c r="AT31" s="32">
        <f>SUM(AT23:AT28)</f>
        <v>-719</v>
      </c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</row>
    <row r="32" spans="25:109" s="26" customFormat="1" ht="12.75"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74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</row>
    <row r="33" spans="3:109" s="26" customFormat="1" ht="12.75">
      <c r="C33" s="26" t="s">
        <v>133</v>
      </c>
      <c r="Y33" s="32">
        <v>28414</v>
      </c>
      <c r="Z33" s="32"/>
      <c r="AA33" s="32">
        <v>6648</v>
      </c>
      <c r="AB33" s="32"/>
      <c r="AC33" s="32">
        <v>0</v>
      </c>
      <c r="AD33" s="32"/>
      <c r="AE33" s="32">
        <v>0</v>
      </c>
      <c r="AF33" s="32"/>
      <c r="AG33" s="32">
        <v>0</v>
      </c>
      <c r="AH33" s="32"/>
      <c r="AI33" s="32">
        <v>0</v>
      </c>
      <c r="AJ33" s="32"/>
      <c r="AK33" s="74"/>
      <c r="AL33" s="32"/>
      <c r="AM33" s="32">
        <f>SUM(Y33:AI33)+AK33</f>
        <v>35062</v>
      </c>
      <c r="AN33" s="32"/>
      <c r="AO33" s="32"/>
      <c r="AP33" s="32"/>
      <c r="AQ33" s="32">
        <f>3023+13562</f>
        <v>16585</v>
      </c>
      <c r="AR33" s="32"/>
      <c r="AS33" s="32"/>
      <c r="AT33" s="32">
        <v>17</v>
      </c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</row>
    <row r="34" spans="3:109" s="26" customFormat="1" ht="12.75">
      <c r="C34" s="57" t="s">
        <v>173</v>
      </c>
      <c r="Y34" s="32">
        <v>0</v>
      </c>
      <c r="Z34" s="32"/>
      <c r="AA34" s="32">
        <v>-54366</v>
      </c>
      <c r="AB34" s="32"/>
      <c r="AC34" s="32">
        <v>0</v>
      </c>
      <c r="AD34" s="32"/>
      <c r="AE34" s="32">
        <v>0</v>
      </c>
      <c r="AF34" s="32"/>
      <c r="AG34" s="32">
        <v>0</v>
      </c>
      <c r="AH34" s="32"/>
      <c r="AI34" s="32">
        <v>0</v>
      </c>
      <c r="AJ34" s="32"/>
      <c r="AK34" s="74"/>
      <c r="AL34" s="32"/>
      <c r="AM34" s="32">
        <f>SUM(Y34:AI34)+AK34</f>
        <v>-54366</v>
      </c>
      <c r="AN34" s="32"/>
      <c r="AO34" s="32"/>
      <c r="AP34" s="32"/>
      <c r="AQ34" s="75">
        <v>-20658</v>
      </c>
      <c r="AR34" s="32"/>
      <c r="AS34" s="32"/>
      <c r="AT34" s="32">
        <v>-29</v>
      </c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</row>
    <row r="35" spans="3:109" s="26" customFormat="1" ht="12.75" hidden="1">
      <c r="C35" s="26" t="s">
        <v>134</v>
      </c>
      <c r="Y35" s="32">
        <v>0</v>
      </c>
      <c r="Z35" s="32"/>
      <c r="AA35" s="32">
        <v>0</v>
      </c>
      <c r="AB35" s="32"/>
      <c r="AC35" s="32">
        <v>0</v>
      </c>
      <c r="AD35" s="32"/>
      <c r="AE35" s="32">
        <v>-48065</v>
      </c>
      <c r="AF35" s="32"/>
      <c r="AG35" s="32">
        <v>0</v>
      </c>
      <c r="AH35" s="32"/>
      <c r="AI35" s="32">
        <v>0</v>
      </c>
      <c r="AJ35" s="32"/>
      <c r="AK35" s="74"/>
      <c r="AL35" s="32"/>
      <c r="AM35" s="32">
        <f>SUM(Y35:AI35)+AK35</f>
        <v>-48065</v>
      </c>
      <c r="AN35" s="32"/>
      <c r="AO35" s="32"/>
      <c r="AP35" s="32"/>
      <c r="AQ35" s="32">
        <v>0</v>
      </c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</row>
    <row r="36" spans="3:109" s="26" customFormat="1" ht="12.75">
      <c r="C36" s="26" t="s">
        <v>135</v>
      </c>
      <c r="Y36" s="41">
        <v>-1486</v>
      </c>
      <c r="Z36" s="32"/>
      <c r="AA36" s="83">
        <v>-135478</v>
      </c>
      <c r="AB36" s="32"/>
      <c r="AC36" s="41">
        <v>-41034</v>
      </c>
      <c r="AD36" s="32"/>
      <c r="AE36" s="41">
        <v>-37280</v>
      </c>
      <c r="AF36" s="32"/>
      <c r="AG36" s="41">
        <v>-60033</v>
      </c>
      <c r="AH36" s="32"/>
      <c r="AI36" s="41">
        <v>0</v>
      </c>
      <c r="AJ36" s="32"/>
      <c r="AK36" s="74"/>
      <c r="AL36" s="32"/>
      <c r="AM36" s="41">
        <f>SUM(Y36:AI36)+AK36</f>
        <v>-275311</v>
      </c>
      <c r="AN36" s="32"/>
      <c r="AO36" s="32"/>
      <c r="AP36" s="32"/>
      <c r="AQ36" s="84"/>
      <c r="AR36" s="32"/>
      <c r="AS36" s="32"/>
      <c r="AT36" s="41">
        <v>-67</v>
      </c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</row>
    <row r="37" spans="2:109" s="26" customFormat="1" ht="12.75">
      <c r="B37" s="26" t="s">
        <v>136</v>
      </c>
      <c r="Y37" s="41">
        <f>SUM(Y31:Y36)</f>
        <v>251045</v>
      </c>
      <c r="Z37" s="32"/>
      <c r="AA37" s="41">
        <f>SUM(AA31:AA36)</f>
        <v>-346644</v>
      </c>
      <c r="AB37" s="32"/>
      <c r="AC37" s="41">
        <f>SUM(AC31:AC36)</f>
        <v>97482</v>
      </c>
      <c r="AD37" s="32"/>
      <c r="AE37" s="41">
        <f>SUM(AE31:AE36)</f>
        <v>27999</v>
      </c>
      <c r="AF37" s="32"/>
      <c r="AG37" s="41">
        <f>SUM(AG31:AG36)</f>
        <v>107557</v>
      </c>
      <c r="AH37" s="32"/>
      <c r="AI37" s="41">
        <f>SUM(AI31:AI36)</f>
        <v>0</v>
      </c>
      <c r="AJ37" s="32"/>
      <c r="AK37" s="74"/>
      <c r="AL37" s="32"/>
      <c r="AM37" s="41">
        <f>SUM(AM31:AM36)</f>
        <v>137439</v>
      </c>
      <c r="AN37" s="32"/>
      <c r="AO37" s="32"/>
      <c r="AP37" s="32"/>
      <c r="AQ37" s="42">
        <f>SUM(AQ31:AQ36)</f>
        <v>-609074</v>
      </c>
      <c r="AR37" s="32"/>
      <c r="AS37" s="32"/>
      <c r="AT37" s="32">
        <f>SUM(AT31:AT36)</f>
        <v>-798</v>
      </c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</row>
    <row r="38" spans="25:109" s="26" customFormat="1" ht="12.75"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74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</row>
    <row r="39" spans="2:109" s="26" customFormat="1" ht="12.75">
      <c r="B39" s="2" t="s">
        <v>137</v>
      </c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74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</row>
    <row r="40" spans="3:109" s="26" customFormat="1" ht="12.75">
      <c r="C40" s="26" t="s">
        <v>138</v>
      </c>
      <c r="Y40" s="32">
        <v>0</v>
      </c>
      <c r="Z40" s="32"/>
      <c r="AA40" s="32">
        <v>-37401</v>
      </c>
      <c r="AB40" s="32"/>
      <c r="AC40" s="32">
        <v>-4563</v>
      </c>
      <c r="AD40" s="32"/>
      <c r="AE40" s="32">
        <v>-1360</v>
      </c>
      <c r="AF40" s="32"/>
      <c r="AG40" s="32">
        <v>-10496</v>
      </c>
      <c r="AH40" s="32"/>
      <c r="AI40" s="32">
        <v>0</v>
      </c>
      <c r="AJ40" s="32"/>
      <c r="AK40" s="74"/>
      <c r="AL40" s="32"/>
      <c r="AM40" s="32">
        <f>SUM(Y40:AI40)+AK40</f>
        <v>-53820</v>
      </c>
      <c r="AN40" s="32"/>
      <c r="AO40" s="32"/>
      <c r="AP40" s="32"/>
      <c r="AQ40" s="85">
        <f>1117</f>
        <v>1117</v>
      </c>
      <c r="AR40" s="32"/>
      <c r="AS40" s="32"/>
      <c r="AT40" s="32">
        <v>-97</v>
      </c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</row>
    <row r="41" spans="3:109" s="26" customFormat="1" ht="12.75">
      <c r="C41" s="26" t="s">
        <v>140</v>
      </c>
      <c r="Y41" s="32">
        <v>0</v>
      </c>
      <c r="Z41" s="32"/>
      <c r="AA41" s="32">
        <v>-288977</v>
      </c>
      <c r="AB41" s="32"/>
      <c r="AC41" s="32">
        <v>0</v>
      </c>
      <c r="AD41" s="32"/>
      <c r="AE41" s="32">
        <v>0</v>
      </c>
      <c r="AF41" s="32"/>
      <c r="AG41" s="32">
        <v>0</v>
      </c>
      <c r="AH41" s="32"/>
      <c r="AI41" s="32">
        <v>0</v>
      </c>
      <c r="AJ41" s="32"/>
      <c r="AK41" s="74"/>
      <c r="AL41" s="32"/>
      <c r="AM41" s="32">
        <f>SUM(Y41:AI41)+AK41</f>
        <v>-288977</v>
      </c>
      <c r="AN41" s="32"/>
      <c r="AO41" s="32"/>
      <c r="AP41" s="32"/>
      <c r="AQ41" s="32">
        <v>0</v>
      </c>
      <c r="AR41" s="32"/>
      <c r="AS41" s="32"/>
      <c r="AT41" s="32">
        <v>-91</v>
      </c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</row>
    <row r="42" spans="3:109" s="26" customFormat="1" ht="12.75">
      <c r="C42" s="26" t="s">
        <v>172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74"/>
      <c r="AL42" s="32"/>
      <c r="AM42" s="32"/>
      <c r="AN42" s="32"/>
      <c r="AO42" s="32"/>
      <c r="AP42" s="32"/>
      <c r="AQ42" s="32">
        <v>0</v>
      </c>
      <c r="AR42" s="32"/>
      <c r="AS42" s="32"/>
      <c r="AT42" s="32">
        <v>-353</v>
      </c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</row>
    <row r="43" spans="3:109" s="26" customFormat="1" ht="12.75" hidden="1">
      <c r="C43" s="26" t="s">
        <v>141</v>
      </c>
      <c r="X43" s="26" t="s">
        <v>142</v>
      </c>
      <c r="Y43" s="32">
        <v>0</v>
      </c>
      <c r="Z43" s="32"/>
      <c r="AA43" s="32">
        <v>0</v>
      </c>
      <c r="AB43" s="32"/>
      <c r="AC43" s="32">
        <v>0</v>
      </c>
      <c r="AD43" s="32"/>
      <c r="AE43" s="32">
        <v>0</v>
      </c>
      <c r="AF43" s="32"/>
      <c r="AG43" s="32">
        <v>0</v>
      </c>
      <c r="AH43" s="32"/>
      <c r="AI43" s="32">
        <v>0</v>
      </c>
      <c r="AJ43" s="32"/>
      <c r="AK43" s="74"/>
      <c r="AL43" s="32"/>
      <c r="AM43" s="32">
        <f>SUM(Y43:AI43)+AK43</f>
        <v>0</v>
      </c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</row>
    <row r="44" spans="2:109" s="26" customFormat="1" ht="12.75">
      <c r="B44" s="26" t="s">
        <v>143</v>
      </c>
      <c r="Y44" s="86">
        <f>SUM(Y40:Y43)</f>
        <v>0</v>
      </c>
      <c r="Z44" s="32"/>
      <c r="AA44" s="86">
        <f>SUM(AA40:AA43)</f>
        <v>-326378</v>
      </c>
      <c r="AB44" s="32"/>
      <c r="AC44" s="86">
        <f>SUM(AC40:AC43)</f>
        <v>-4563</v>
      </c>
      <c r="AD44" s="32"/>
      <c r="AE44" s="86">
        <f>SUM(AE40:AE43)</f>
        <v>-1360</v>
      </c>
      <c r="AF44" s="32"/>
      <c r="AG44" s="86">
        <f>SUM(AG40:AG43)</f>
        <v>-10496</v>
      </c>
      <c r="AH44" s="32"/>
      <c r="AI44" s="86">
        <f>SUM(AI40:AI43)</f>
        <v>0</v>
      </c>
      <c r="AJ44" s="32"/>
      <c r="AK44" s="74"/>
      <c r="AL44" s="32"/>
      <c r="AM44" s="86">
        <f>SUM(AM40:AM43)</f>
        <v>-342797</v>
      </c>
      <c r="AN44" s="32"/>
      <c r="AO44" s="32"/>
      <c r="AP44" s="32"/>
      <c r="AQ44" s="86">
        <f>SUM(AQ40:AQ43)</f>
        <v>1117</v>
      </c>
      <c r="AR44" s="32"/>
      <c r="AS44" s="32"/>
      <c r="AT44" s="86">
        <f>SUM(AT40:AT43)</f>
        <v>-541</v>
      </c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</row>
    <row r="45" spans="25:109" s="26" customFormat="1" ht="12.75"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74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</row>
    <row r="46" spans="2:109" s="26" customFormat="1" ht="12.75">
      <c r="B46" s="2" t="s">
        <v>144</v>
      </c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74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</row>
    <row r="47" spans="3:109" s="26" customFormat="1" ht="12.75">
      <c r="C47" s="26" t="s">
        <v>145</v>
      </c>
      <c r="Y47" s="32">
        <v>0</v>
      </c>
      <c r="Z47" s="32"/>
      <c r="AA47" s="32">
        <v>-9900</v>
      </c>
      <c r="AB47" s="32"/>
      <c r="AC47" s="32">
        <v>0</v>
      </c>
      <c r="AD47" s="32"/>
      <c r="AE47" s="32">
        <v>-7741</v>
      </c>
      <c r="AF47" s="32"/>
      <c r="AG47" s="32">
        <v>-32131</v>
      </c>
      <c r="AH47" s="32"/>
      <c r="AI47" s="32">
        <v>0</v>
      </c>
      <c r="AJ47" s="32"/>
      <c r="AK47" s="74"/>
      <c r="AL47" s="32"/>
      <c r="AM47" s="32">
        <f>SUM(Y47:AI47)+AK47</f>
        <v>-49772</v>
      </c>
      <c r="AN47" s="32"/>
      <c r="AO47" s="32" t="s">
        <v>146</v>
      </c>
      <c r="AP47" s="32"/>
      <c r="AQ47" s="75">
        <v>-63238</v>
      </c>
      <c r="AR47" s="32"/>
      <c r="AS47" s="32"/>
      <c r="AT47" s="32">
        <v>-55</v>
      </c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</row>
    <row r="48" spans="3:109" s="26" customFormat="1" ht="12.75">
      <c r="C48" s="57" t="s">
        <v>147</v>
      </c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74"/>
      <c r="AL48" s="32"/>
      <c r="AM48" s="32"/>
      <c r="AN48" s="32"/>
      <c r="AO48" s="32"/>
      <c r="AP48" s="32"/>
      <c r="AQ48" s="74"/>
      <c r="AR48" s="32"/>
      <c r="AS48" s="32"/>
      <c r="AT48" s="32">
        <v>-6</v>
      </c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</row>
    <row r="49" spans="3:109" s="26" customFormat="1" ht="12.75">
      <c r="C49" s="87" t="s">
        <v>148</v>
      </c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74"/>
      <c r="AL49" s="32"/>
      <c r="AM49" s="32"/>
      <c r="AN49" s="32"/>
      <c r="AO49" s="32"/>
      <c r="AP49" s="32"/>
      <c r="AQ49" s="74"/>
      <c r="AR49" s="32"/>
      <c r="AS49" s="32"/>
      <c r="AT49" s="32">
        <v>80</v>
      </c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</row>
    <row r="50" spans="3:109" s="26" customFormat="1" ht="12.75">
      <c r="C50" s="26" t="s">
        <v>149</v>
      </c>
      <c r="Y50" s="32">
        <v>0</v>
      </c>
      <c r="Z50" s="32"/>
      <c r="AA50" s="32">
        <v>949248</v>
      </c>
      <c r="AB50" s="32"/>
      <c r="AC50" s="32">
        <v>0</v>
      </c>
      <c r="AD50" s="32"/>
      <c r="AE50" s="32">
        <v>0</v>
      </c>
      <c r="AF50" s="32"/>
      <c r="AG50" s="32">
        <v>0</v>
      </c>
      <c r="AH50" s="32"/>
      <c r="AI50" s="32">
        <v>0</v>
      </c>
      <c r="AJ50" s="32"/>
      <c r="AK50" s="74"/>
      <c r="AL50" s="32"/>
      <c r="AM50" s="32">
        <f>SUM(Y50:AI50)+AK50</f>
        <v>949248</v>
      </c>
      <c r="AN50" s="32"/>
      <c r="AO50" s="32"/>
      <c r="AP50" s="32"/>
      <c r="AQ50" s="32">
        <v>0</v>
      </c>
      <c r="AR50" s="32"/>
      <c r="AS50" s="32"/>
      <c r="AT50" s="32">
        <v>-477</v>
      </c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</row>
    <row r="51" spans="3:109" s="26" customFormat="1" ht="12.75">
      <c r="C51" s="26" t="s">
        <v>150</v>
      </c>
      <c r="Y51" s="32">
        <v>-317433</v>
      </c>
      <c r="Z51" s="32"/>
      <c r="AA51" s="32">
        <v>0</v>
      </c>
      <c r="AB51" s="32"/>
      <c r="AC51" s="32">
        <v>0</v>
      </c>
      <c r="AD51" s="32"/>
      <c r="AE51" s="32">
        <v>0</v>
      </c>
      <c r="AF51" s="32"/>
      <c r="AG51" s="32">
        <v>0</v>
      </c>
      <c r="AH51" s="32"/>
      <c r="AI51" s="32">
        <v>0</v>
      </c>
      <c r="AJ51" s="32"/>
      <c r="AK51" s="74"/>
      <c r="AL51" s="32"/>
      <c r="AM51" s="32">
        <f>SUM(Y51:AI51)+AK51</f>
        <v>-317433</v>
      </c>
      <c r="AN51" s="32"/>
      <c r="AO51" s="32"/>
      <c r="AP51" s="32"/>
      <c r="AQ51" s="32">
        <v>-77338</v>
      </c>
      <c r="AR51" s="32"/>
      <c r="AS51" s="32"/>
      <c r="AT51" s="32">
        <v>-79</v>
      </c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</row>
    <row r="52" spans="3:109" s="26" customFormat="1" ht="12.75">
      <c r="C52" s="26" t="s">
        <v>151</v>
      </c>
      <c r="Y52" s="86">
        <f>SUM(Y47:Y51)</f>
        <v>-317433</v>
      </c>
      <c r="Z52" s="32"/>
      <c r="AA52" s="86">
        <f>SUM(AA47:AA51)</f>
        <v>939348</v>
      </c>
      <c r="AB52" s="32"/>
      <c r="AC52" s="86">
        <f>SUM(AC47:AC51)</f>
        <v>0</v>
      </c>
      <c r="AD52" s="32"/>
      <c r="AE52" s="86">
        <f>SUM(AE47:AE51)</f>
        <v>-7741</v>
      </c>
      <c r="AF52" s="32"/>
      <c r="AG52" s="86">
        <f>SUM(AG47:AG50)</f>
        <v>-32131</v>
      </c>
      <c r="AH52" s="32"/>
      <c r="AI52" s="86">
        <f>SUM(AI47:AI50)</f>
        <v>0</v>
      </c>
      <c r="AJ52" s="32"/>
      <c r="AK52" s="74"/>
      <c r="AL52" s="32"/>
      <c r="AM52" s="86">
        <f>SUM(AM47:AM51)</f>
        <v>582043</v>
      </c>
      <c r="AN52" s="32"/>
      <c r="AO52" s="32"/>
      <c r="AP52" s="32"/>
      <c r="AQ52" s="86">
        <f>SUM(AQ47:AQ51)</f>
        <v>-140576</v>
      </c>
      <c r="AR52" s="32"/>
      <c r="AS52" s="32"/>
      <c r="AT52" s="86">
        <f>SUM(AT47:AT51)</f>
        <v>-537</v>
      </c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</row>
    <row r="53" spans="25:109" s="26" customFormat="1" ht="12.75">
      <c r="Y53" s="42"/>
      <c r="Z53" s="32"/>
      <c r="AA53" s="42"/>
      <c r="AB53" s="32"/>
      <c r="AC53" s="42"/>
      <c r="AD53" s="32"/>
      <c r="AE53" s="42"/>
      <c r="AF53" s="32"/>
      <c r="AG53" s="42"/>
      <c r="AH53" s="32"/>
      <c r="AI53" s="42"/>
      <c r="AJ53" s="32"/>
      <c r="AK53" s="74"/>
      <c r="AL53" s="32"/>
      <c r="AM53" s="4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</row>
    <row r="54" spans="2:109" s="26" customFormat="1" ht="12.75">
      <c r="B54" s="26" t="s">
        <v>152</v>
      </c>
      <c r="Y54" s="42">
        <f>+Y37+Y44+Y52</f>
        <v>-66388</v>
      </c>
      <c r="Z54" s="32"/>
      <c r="AA54" s="42">
        <f>+AA37+AA44+AA52</f>
        <v>266326</v>
      </c>
      <c r="AB54" s="32"/>
      <c r="AC54" s="42">
        <f>+AC37+AC44+AC52</f>
        <v>92919</v>
      </c>
      <c r="AD54" s="32"/>
      <c r="AE54" s="42">
        <f>+AE37+AE44+AE52</f>
        <v>18898</v>
      </c>
      <c r="AF54" s="32"/>
      <c r="AG54" s="42">
        <f>+AG37+AG44+AG52</f>
        <v>64930</v>
      </c>
      <c r="AH54" s="32"/>
      <c r="AI54" s="42">
        <f>+AI37+AI44+AI52</f>
        <v>0</v>
      </c>
      <c r="AJ54" s="32"/>
      <c r="AK54" s="74"/>
      <c r="AL54" s="32"/>
      <c r="AM54" s="42">
        <f>+AM37+AM44+AM52</f>
        <v>376685</v>
      </c>
      <c r="AN54" s="32"/>
      <c r="AO54" s="32"/>
      <c r="AP54" s="32"/>
      <c r="AQ54" s="42">
        <f>+AQ37+AQ44+AQ52</f>
        <v>-748533</v>
      </c>
      <c r="AR54" s="32"/>
      <c r="AS54" s="32"/>
      <c r="AT54" s="66">
        <f>+AT37+AT44+AT52</f>
        <v>-1876</v>
      </c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</row>
    <row r="55" spans="2:109" s="26" customFormat="1" ht="12.75">
      <c r="B55" s="26" t="s">
        <v>153</v>
      </c>
      <c r="Y55" s="42">
        <v>632</v>
      </c>
      <c r="Z55" s="32"/>
      <c r="AA55" s="42">
        <v>-129968</v>
      </c>
      <c r="AB55" s="32"/>
      <c r="AC55" s="42">
        <v>51451</v>
      </c>
      <c r="AD55" s="32"/>
      <c r="AE55" s="42">
        <v>10756</v>
      </c>
      <c r="AF55" s="32"/>
      <c r="AG55" s="42">
        <v>18245</v>
      </c>
      <c r="AH55" s="32"/>
      <c r="AI55" s="42">
        <v>2</v>
      </c>
      <c r="AJ55" s="32"/>
      <c r="AK55" s="74"/>
      <c r="AL55" s="32"/>
      <c r="AM55" s="32">
        <f>SUM(Y55:AI55)+AK55</f>
        <v>-48882</v>
      </c>
      <c r="AN55" s="32"/>
      <c r="AO55" s="32"/>
      <c r="AP55" s="32"/>
      <c r="AQ55" s="32">
        <f>3317880+209629-1110238-96267</f>
        <v>2321004</v>
      </c>
      <c r="AR55" s="32"/>
      <c r="AS55" s="32"/>
      <c r="AT55" s="32">
        <v>2790</v>
      </c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</row>
    <row r="56" spans="2:109" s="26" customFormat="1" ht="13.5" thickBot="1">
      <c r="B56" s="26" t="s">
        <v>171</v>
      </c>
      <c r="Y56" s="64">
        <f>SUM(Y54:Y55)</f>
        <v>-65756</v>
      </c>
      <c r="Z56" s="32"/>
      <c r="AA56" s="64">
        <f>SUM(AA54:AA55)</f>
        <v>136358</v>
      </c>
      <c r="AB56" s="32"/>
      <c r="AC56" s="64">
        <f>SUM(AC54:AC55)</f>
        <v>144370</v>
      </c>
      <c r="AD56" s="32"/>
      <c r="AE56" s="64">
        <f>SUM(AE54:AE55)</f>
        <v>29654</v>
      </c>
      <c r="AF56" s="32"/>
      <c r="AG56" s="64">
        <f>SUM(AG54:AG55)</f>
        <v>83175</v>
      </c>
      <c r="AH56" s="32"/>
      <c r="AI56" s="64">
        <f>SUM(AI54:AI55)</f>
        <v>2</v>
      </c>
      <c r="AJ56" s="32"/>
      <c r="AK56" s="74"/>
      <c r="AL56" s="32"/>
      <c r="AM56" s="64">
        <f>SUM(AM54:AM55)</f>
        <v>327803</v>
      </c>
      <c r="AN56" s="32"/>
      <c r="AO56" s="32"/>
      <c r="AP56" s="32"/>
      <c r="AQ56" s="64">
        <f>SUM(AQ54:AQ55)</f>
        <v>1572471</v>
      </c>
      <c r="AR56" s="32"/>
      <c r="AS56" s="32"/>
      <c r="AT56" s="88">
        <f>SUM(AT54:AT55)</f>
        <v>914</v>
      </c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</row>
    <row r="57" spans="24:109" s="26" customFormat="1" ht="12.75">
      <c r="X57" s="89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74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</row>
    <row r="58" spans="2:109" s="26" customFormat="1" ht="12.75">
      <c r="B58" s="2" t="s">
        <v>154</v>
      </c>
      <c r="X58" s="89">
        <v>0</v>
      </c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74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</row>
    <row r="59" spans="3:109" s="26" customFormat="1" ht="12.75">
      <c r="C59" s="26" t="s">
        <v>87</v>
      </c>
      <c r="X59" s="89"/>
      <c r="Y59" s="32">
        <v>1999980</v>
      </c>
      <c r="Z59" s="32"/>
      <c r="AA59" s="32">
        <v>0</v>
      </c>
      <c r="AB59" s="32"/>
      <c r="AC59" s="32">
        <v>0</v>
      </c>
      <c r="AD59" s="32"/>
      <c r="AE59" s="32">
        <v>0</v>
      </c>
      <c r="AF59" s="32"/>
      <c r="AG59" s="32">
        <v>0</v>
      </c>
      <c r="AH59" s="32"/>
      <c r="AI59" s="32">
        <v>0</v>
      </c>
      <c r="AJ59" s="32"/>
      <c r="AK59" s="74"/>
      <c r="AL59" s="32"/>
      <c r="AM59" s="32">
        <f>SUM(Y59:AI59)+AK59</f>
        <v>1999980</v>
      </c>
      <c r="AN59" s="32"/>
      <c r="AO59" s="32"/>
      <c r="AP59" s="32"/>
      <c r="AQ59" s="32">
        <v>2159883</v>
      </c>
      <c r="AR59" s="32"/>
      <c r="AS59" s="32"/>
      <c r="AT59" s="32">
        <v>1500</v>
      </c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</row>
    <row r="60" spans="3:109" s="26" customFormat="1" ht="12.75">
      <c r="C60" s="26" t="s">
        <v>88</v>
      </c>
      <c r="X60" s="89">
        <v>0</v>
      </c>
      <c r="Y60" s="32">
        <v>12244</v>
      </c>
      <c r="Z60" s="32"/>
      <c r="AA60" s="32">
        <v>136358</v>
      </c>
      <c r="AB60" s="32"/>
      <c r="AC60" s="32">
        <v>144370</v>
      </c>
      <c r="AD60" s="32"/>
      <c r="AE60" s="32">
        <v>29654</v>
      </c>
      <c r="AF60" s="32"/>
      <c r="AG60" s="32">
        <v>83175</v>
      </c>
      <c r="AH60" s="32"/>
      <c r="AI60" s="32">
        <v>2</v>
      </c>
      <c r="AJ60" s="32"/>
      <c r="AK60" s="74"/>
      <c r="AL60" s="32"/>
      <c r="AM60" s="32">
        <f>SUM(Y60:AI60)+AK60</f>
        <v>405803</v>
      </c>
      <c r="AN60" s="32"/>
      <c r="AO60" s="32"/>
      <c r="AP60" s="32"/>
      <c r="AQ60" s="32">
        <f>298693-1480201-252585</f>
        <v>-1434093</v>
      </c>
      <c r="AR60" s="32"/>
      <c r="AS60" s="32"/>
      <c r="AT60" s="32">
        <f>298-884</f>
        <v>-586</v>
      </c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</row>
    <row r="61" spans="25:109" s="26" customFormat="1" ht="13.5" thickBot="1">
      <c r="Y61" s="64">
        <f>SUM(Y59:Y60)</f>
        <v>2012224</v>
      </c>
      <c r="Z61" s="32"/>
      <c r="AA61" s="64">
        <f>SUM(AA59:AA60)</f>
        <v>136358</v>
      </c>
      <c r="AB61" s="32"/>
      <c r="AC61" s="64">
        <f>SUM(AC59:AC60)</f>
        <v>144370</v>
      </c>
      <c r="AD61" s="32"/>
      <c r="AE61" s="64">
        <f>SUM(AE59:AE60)</f>
        <v>29654</v>
      </c>
      <c r="AF61" s="32"/>
      <c r="AG61" s="64">
        <f>SUM(AG59:AG60)</f>
        <v>83175</v>
      </c>
      <c r="AH61" s="32"/>
      <c r="AI61" s="64">
        <f>SUM(AI59:AI60)</f>
        <v>2</v>
      </c>
      <c r="AJ61" s="32"/>
      <c r="AK61" s="74"/>
      <c r="AL61" s="32"/>
      <c r="AM61" s="64">
        <f>SUM(AM59:AM60)</f>
        <v>2405783</v>
      </c>
      <c r="AN61" s="32"/>
      <c r="AO61" s="32"/>
      <c r="AP61" s="32"/>
      <c r="AQ61" s="64">
        <f>SUM(AQ59:AQ60)</f>
        <v>725790</v>
      </c>
      <c r="AR61" s="32"/>
      <c r="AS61" s="32"/>
      <c r="AT61" s="88">
        <f>SUM(AT59:AT60)</f>
        <v>914</v>
      </c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</row>
    <row r="62" spans="2:109" s="26" customFormat="1" ht="12.75">
      <c r="B62" s="26" t="s">
        <v>174</v>
      </c>
      <c r="Y62" s="32">
        <f>+Y56-Y61</f>
        <v>-2077980</v>
      </c>
      <c r="Z62" s="32"/>
      <c r="AA62" s="32">
        <f>+AA56-AA61</f>
        <v>0</v>
      </c>
      <c r="AB62" s="32"/>
      <c r="AC62" s="32">
        <f>+AC56-AC61</f>
        <v>0</v>
      </c>
      <c r="AD62" s="32"/>
      <c r="AE62" s="32">
        <f>+AE56-AE61</f>
        <v>0</v>
      </c>
      <c r="AF62" s="32"/>
      <c r="AG62" s="32">
        <f>+AG56-AG61</f>
        <v>0</v>
      </c>
      <c r="AH62" s="32"/>
      <c r="AI62" s="32">
        <f>+AI56-AI61</f>
        <v>0</v>
      </c>
      <c r="AJ62" s="32"/>
      <c r="AK62" s="74"/>
      <c r="AL62" s="32"/>
      <c r="AM62" s="74">
        <f>+AM56-AM61</f>
        <v>-2077980</v>
      </c>
      <c r="AN62" s="32"/>
      <c r="AO62" s="32"/>
      <c r="AP62" s="32"/>
      <c r="AQ62" s="74">
        <f>+AQ56-AQ61</f>
        <v>846681</v>
      </c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</row>
    <row r="63" spans="25:109" s="26" customFormat="1" ht="12.75"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74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</row>
    <row r="64" spans="2:109" s="26" customFormat="1" ht="12.75" hidden="1">
      <c r="B64" s="38" t="s">
        <v>155</v>
      </c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74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</row>
    <row r="65" spans="3:109" s="26" customFormat="1" ht="12.75" hidden="1">
      <c r="C65" s="26" t="s">
        <v>156</v>
      </c>
      <c r="Y65" s="32">
        <v>0</v>
      </c>
      <c r="Z65" s="32"/>
      <c r="AA65" s="32">
        <v>92401</v>
      </c>
      <c r="AB65" s="32"/>
      <c r="AC65" s="32">
        <v>4563</v>
      </c>
      <c r="AD65" s="32"/>
      <c r="AE65" s="32">
        <v>1360</v>
      </c>
      <c r="AF65" s="32"/>
      <c r="AG65" s="32">
        <v>10496</v>
      </c>
      <c r="AH65" s="32"/>
      <c r="AI65" s="32">
        <v>0</v>
      </c>
      <c r="AJ65" s="32"/>
      <c r="AK65" s="74"/>
      <c r="AL65" s="32"/>
      <c r="AM65" s="32">
        <f>SUM(Y65:AI65)+AK65</f>
        <v>108820</v>
      </c>
      <c r="AN65" s="32"/>
      <c r="AO65" s="32"/>
      <c r="AP65" s="32"/>
      <c r="AQ65" s="32">
        <v>0</v>
      </c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</row>
    <row r="66" spans="3:109" s="26" customFormat="1" ht="12.75" hidden="1">
      <c r="C66" s="26" t="s">
        <v>157</v>
      </c>
      <c r="Y66" s="32">
        <v>0</v>
      </c>
      <c r="Z66" s="32"/>
      <c r="AA66" s="32">
        <v>-55000</v>
      </c>
      <c r="AB66" s="32"/>
      <c r="AC66" s="32">
        <v>0</v>
      </c>
      <c r="AD66" s="32"/>
      <c r="AE66" s="32">
        <v>0</v>
      </c>
      <c r="AF66" s="32"/>
      <c r="AG66" s="32">
        <v>0</v>
      </c>
      <c r="AH66" s="32"/>
      <c r="AI66" s="32">
        <v>0</v>
      </c>
      <c r="AJ66" s="32"/>
      <c r="AK66" s="74"/>
      <c r="AL66" s="32"/>
      <c r="AM66" s="32">
        <f>SUM(Y66:AI66)+AK66</f>
        <v>-55000</v>
      </c>
      <c r="AN66" s="32"/>
      <c r="AO66" s="32"/>
      <c r="AP66" s="32"/>
      <c r="AQ66" s="32">
        <v>0</v>
      </c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</row>
    <row r="67" spans="3:109" s="26" customFormat="1" ht="13.5" hidden="1" thickBot="1">
      <c r="C67" s="26" t="s">
        <v>158</v>
      </c>
      <c r="Y67" s="64">
        <f>SUM(Y65:Y66)</f>
        <v>0</v>
      </c>
      <c r="Z67" s="32"/>
      <c r="AA67" s="64">
        <f>SUM(AA65:AA66)</f>
        <v>37401</v>
      </c>
      <c r="AB67" s="32"/>
      <c r="AC67" s="64">
        <f>SUM(AC65:AC66)</f>
        <v>4563</v>
      </c>
      <c r="AD67" s="32"/>
      <c r="AE67" s="64">
        <f>SUM(AE65:AE66)</f>
        <v>1360</v>
      </c>
      <c r="AF67" s="32"/>
      <c r="AG67" s="64">
        <f>SUM(AG65:AG66)</f>
        <v>10496</v>
      </c>
      <c r="AH67" s="32"/>
      <c r="AI67" s="64">
        <f>SUM(AI65:AI66)</f>
        <v>0</v>
      </c>
      <c r="AJ67" s="32"/>
      <c r="AK67" s="74"/>
      <c r="AL67" s="32"/>
      <c r="AM67" s="64">
        <f>SUM(AM65:AM66)</f>
        <v>53820</v>
      </c>
      <c r="AN67" s="32"/>
      <c r="AO67" s="32"/>
      <c r="AP67" s="32"/>
      <c r="AQ67" s="32">
        <v>0</v>
      </c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</row>
    <row r="68" spans="25:109" s="26" customFormat="1" ht="12.75" customHeight="1" hidden="1"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74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</row>
    <row r="69" spans="2:109" s="26" customFormat="1" ht="12.75" hidden="1">
      <c r="B69" s="38" t="s">
        <v>159</v>
      </c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74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</row>
    <row r="70" spans="3:109" s="26" customFormat="1" ht="12.75" hidden="1">
      <c r="C70" s="26" t="s">
        <v>160</v>
      </c>
      <c r="Y70" s="32">
        <v>490000</v>
      </c>
      <c r="Z70" s="32"/>
      <c r="AA70" s="32">
        <v>0</v>
      </c>
      <c r="AB70" s="32"/>
      <c r="AC70" s="32">
        <v>0</v>
      </c>
      <c r="AD70" s="32"/>
      <c r="AE70" s="32">
        <v>0</v>
      </c>
      <c r="AF70" s="32"/>
      <c r="AG70" s="32">
        <v>0</v>
      </c>
      <c r="AH70" s="32"/>
      <c r="AI70" s="32">
        <v>0</v>
      </c>
      <c r="AJ70" s="32"/>
      <c r="AK70" s="74"/>
      <c r="AL70" s="32"/>
      <c r="AM70" s="32">
        <f>SUM(Y70:AI70)+AK70</f>
        <v>490000</v>
      </c>
      <c r="AN70" s="32"/>
      <c r="AO70" s="32"/>
      <c r="AP70" s="32"/>
      <c r="AQ70" s="32">
        <f>2116000-20000</f>
        <v>2096000</v>
      </c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</row>
    <row r="71" spans="3:109" s="26" customFormat="1" ht="12.75" hidden="1">
      <c r="C71" s="26" t="s">
        <v>161</v>
      </c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74"/>
      <c r="AL71" s="32"/>
      <c r="AM71" s="32"/>
      <c r="AN71" s="32"/>
      <c r="AO71" s="32"/>
      <c r="AP71" s="32"/>
      <c r="AQ71" s="32">
        <v>-20000</v>
      </c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</row>
    <row r="72" spans="3:109" s="26" customFormat="1" ht="12.75" hidden="1">
      <c r="C72" s="26" t="s">
        <v>161</v>
      </c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74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</row>
    <row r="73" spans="3:109" s="26" customFormat="1" ht="12.75" hidden="1">
      <c r="C73" s="26" t="s">
        <v>161</v>
      </c>
      <c r="Y73" s="32">
        <v>-490000</v>
      </c>
      <c r="Z73" s="32"/>
      <c r="AA73" s="32">
        <v>0</v>
      </c>
      <c r="AB73" s="32"/>
      <c r="AC73" s="32">
        <v>0</v>
      </c>
      <c r="AD73" s="32"/>
      <c r="AE73" s="32">
        <v>0</v>
      </c>
      <c r="AF73" s="32"/>
      <c r="AG73" s="32">
        <v>0</v>
      </c>
      <c r="AH73" s="32"/>
      <c r="AI73" s="32">
        <v>0</v>
      </c>
      <c r="AJ73" s="32"/>
      <c r="AK73" s="74"/>
      <c r="AL73" s="32"/>
      <c r="AM73" s="32">
        <f>SUM(Y73:AK73)</f>
        <v>-490000</v>
      </c>
      <c r="AN73" s="32"/>
      <c r="AO73" s="32"/>
      <c r="AP73" s="32"/>
      <c r="AQ73" s="32">
        <v>0</v>
      </c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</row>
    <row r="74" spans="3:109" s="26" customFormat="1" ht="13.5" hidden="1" thickBot="1">
      <c r="C74" s="26" t="s">
        <v>158</v>
      </c>
      <c r="Y74" s="64">
        <f>SUM(Y70:Y73)</f>
        <v>0</v>
      </c>
      <c r="Z74" s="32"/>
      <c r="AA74" s="64">
        <f>SUM(AA70:AA73)</f>
        <v>0</v>
      </c>
      <c r="AB74" s="32"/>
      <c r="AC74" s="64">
        <f>SUM(AC70:AC73)</f>
        <v>0</v>
      </c>
      <c r="AD74" s="32"/>
      <c r="AE74" s="64">
        <f>SUM(AE70:AE73)</f>
        <v>0</v>
      </c>
      <c r="AF74" s="32"/>
      <c r="AG74" s="64">
        <f>SUM(AG70:AG73)</f>
        <v>0</v>
      </c>
      <c r="AH74" s="32"/>
      <c r="AI74" s="64">
        <f>SUM(AI70:AI73)</f>
        <v>0</v>
      </c>
      <c r="AJ74" s="32"/>
      <c r="AL74" s="32"/>
      <c r="AM74" s="64">
        <f>SUM(AM70:AM73)</f>
        <v>0</v>
      </c>
      <c r="AN74" s="32"/>
      <c r="AO74" s="32"/>
      <c r="AP74" s="32"/>
      <c r="AQ74" s="32">
        <v>0</v>
      </c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</row>
    <row r="75" spans="25:109" s="26" customFormat="1" ht="12.75" hidden="1"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74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</row>
    <row r="76" spans="3:109" s="26" customFormat="1" ht="12.75" hidden="1">
      <c r="C76" s="38" t="s">
        <v>162</v>
      </c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74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</row>
    <row r="77" spans="3:109" s="26" customFormat="1" ht="12.75" hidden="1">
      <c r="C77" s="26" t="s">
        <v>163</v>
      </c>
      <c r="Y77" s="32">
        <v>0</v>
      </c>
      <c r="Z77" s="32"/>
      <c r="AA77" s="32">
        <v>0</v>
      </c>
      <c r="AB77" s="32"/>
      <c r="AC77" s="32">
        <v>0</v>
      </c>
      <c r="AD77" s="32"/>
      <c r="AE77" s="32">
        <v>490000</v>
      </c>
      <c r="AF77" s="32"/>
      <c r="AG77" s="32">
        <v>0</v>
      </c>
      <c r="AH77" s="32"/>
      <c r="AI77" s="32">
        <v>0</v>
      </c>
      <c r="AJ77" s="32"/>
      <c r="AK77" s="74"/>
      <c r="AL77" s="32"/>
      <c r="AM77" s="32">
        <f>SUM(Y77:AI77)</f>
        <v>490000</v>
      </c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</row>
    <row r="78" spans="3:109" s="26" customFormat="1" ht="12.75" hidden="1">
      <c r="C78" s="26" t="s">
        <v>164</v>
      </c>
      <c r="Y78" s="32">
        <v>0</v>
      </c>
      <c r="Z78" s="32"/>
      <c r="AA78" s="32">
        <v>0</v>
      </c>
      <c r="AB78" s="32"/>
      <c r="AC78" s="32">
        <v>0</v>
      </c>
      <c r="AD78" s="32"/>
      <c r="AE78" s="32">
        <v>-490000</v>
      </c>
      <c r="AF78" s="32"/>
      <c r="AG78" s="32">
        <v>0</v>
      </c>
      <c r="AH78" s="32"/>
      <c r="AI78" s="32">
        <v>0</v>
      </c>
      <c r="AJ78" s="32"/>
      <c r="AK78" s="74"/>
      <c r="AL78" s="32"/>
      <c r="AM78" s="32">
        <f>SUM(Y78:AK78)</f>
        <v>-490000</v>
      </c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</row>
    <row r="79" spans="3:109" s="26" customFormat="1" ht="13.5" hidden="1" thickBot="1">
      <c r="C79" s="26" t="s">
        <v>158</v>
      </c>
      <c r="Y79" s="64">
        <f>SUM(Y77:Y78)</f>
        <v>0</v>
      </c>
      <c r="Z79" s="32"/>
      <c r="AA79" s="64">
        <f>SUM(AA77:AA78)</f>
        <v>0</v>
      </c>
      <c r="AB79" s="32"/>
      <c r="AC79" s="64">
        <f>SUM(AC77:AC78)</f>
        <v>0</v>
      </c>
      <c r="AD79" s="32"/>
      <c r="AE79" s="64">
        <f>SUM(AE77:AE78)</f>
        <v>0</v>
      </c>
      <c r="AF79" s="32"/>
      <c r="AG79" s="64">
        <f>SUM(AG77:AG78)</f>
        <v>0</v>
      </c>
      <c r="AH79" s="32"/>
      <c r="AI79" s="64">
        <f>SUM(AI77:AI78)</f>
        <v>0</v>
      </c>
      <c r="AJ79" s="32"/>
      <c r="AK79" s="66"/>
      <c r="AL79" s="32"/>
      <c r="AM79" s="64">
        <f>SUM(AM77:AM78)</f>
        <v>0</v>
      </c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</row>
    <row r="80" spans="25:109" s="26" customFormat="1" ht="12.75" hidden="1"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74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</row>
    <row r="81" spans="2:109" s="26" customFormat="1" ht="12.75" hidden="1">
      <c r="B81" s="26" t="s">
        <v>146</v>
      </c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74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</row>
    <row r="82" spans="3:109" s="26" customFormat="1" ht="13.5" hidden="1" thickBot="1">
      <c r="C82" s="26" t="s">
        <v>165</v>
      </c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 t="s">
        <v>166</v>
      </c>
      <c r="AJ82" s="32"/>
      <c r="AK82" s="88">
        <f>SUM(AK12:AK73)</f>
        <v>0</v>
      </c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</row>
    <row r="83" spans="25:109" s="26" customFormat="1" ht="12.75" hidden="1"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74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</row>
    <row r="84" spans="25:109" s="26" customFormat="1" ht="12.75"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74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</row>
    <row r="85" spans="25:109" s="26" customFormat="1" ht="12.75"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74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</row>
    <row r="86" spans="25:109" s="26" customFormat="1" ht="12.75"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74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</row>
    <row r="87" spans="25:109" s="26" customFormat="1" ht="12.75"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74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</row>
    <row r="88" spans="25:109" s="26" customFormat="1" ht="12.75"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74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</row>
    <row r="89" spans="25:109" s="26" customFormat="1" ht="12.75"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74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</row>
    <row r="90" spans="25:109" s="26" customFormat="1" ht="12.75"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74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</row>
    <row r="91" spans="25:109" s="26" customFormat="1" ht="12.75"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74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</row>
    <row r="92" spans="25:109" s="26" customFormat="1" ht="12.75"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74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</row>
    <row r="93" spans="25:109" s="26" customFormat="1" ht="12.75"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74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</row>
    <row r="94" spans="25:109" s="26" customFormat="1" ht="12.75"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74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</row>
    <row r="95" spans="25:109" s="26" customFormat="1" ht="12.75"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74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</row>
    <row r="96" spans="25:109" s="26" customFormat="1" ht="12.75"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74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</row>
    <row r="97" spans="25:109" s="26" customFormat="1" ht="12.75"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74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</row>
    <row r="98" spans="25:109" s="26" customFormat="1" ht="12.75"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74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</row>
    <row r="99" spans="25:109" s="26" customFormat="1" ht="12.75"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74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</row>
    <row r="100" spans="25:109" s="26" customFormat="1" ht="12.75"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74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</row>
    <row r="101" spans="25:109" s="26" customFormat="1" ht="12.75"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74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</row>
    <row r="102" spans="25:109" s="26" customFormat="1" ht="12.75"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74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</row>
    <row r="103" spans="25:109" s="26" customFormat="1" ht="12.75"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74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</row>
    <row r="104" spans="25:109" s="26" customFormat="1" ht="12.75"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74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</row>
    <row r="105" spans="25:109" s="26" customFormat="1" ht="12.75"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74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</row>
    <row r="106" spans="25:109" s="26" customFormat="1" ht="12.75"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74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</row>
    <row r="107" spans="25:109" s="26" customFormat="1" ht="12.75"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74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</row>
    <row r="108" spans="25:109" s="26" customFormat="1" ht="12.75"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74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</row>
    <row r="109" spans="25:109" s="26" customFormat="1" ht="12.75"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74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</row>
    <row r="110" spans="25:109" s="26" customFormat="1" ht="12.75"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74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</row>
    <row r="111" spans="25:109" s="26" customFormat="1" ht="12.75"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74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</row>
    <row r="112" spans="25:109" s="26" customFormat="1" ht="12.75"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74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</row>
    <row r="113" spans="25:109" s="26" customFormat="1" ht="12.75"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74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</row>
    <row r="114" spans="25:109" s="26" customFormat="1" ht="12.75"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74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</row>
    <row r="115" spans="25:109" s="26" customFormat="1" ht="12.75"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74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</row>
    <row r="116" spans="25:109" s="26" customFormat="1" ht="12.75"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74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</row>
    <row r="117" spans="25:109" s="26" customFormat="1" ht="12.75"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74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</row>
    <row r="118" spans="25:109" s="26" customFormat="1" ht="12.75"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74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</row>
    <row r="119" spans="25:109" s="26" customFormat="1" ht="12.75"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74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</row>
    <row r="120" spans="25:109" s="26" customFormat="1" ht="12.75"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74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</row>
    <row r="121" spans="25:109" s="26" customFormat="1" ht="12.75"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74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</row>
    <row r="122" spans="25:109" s="26" customFormat="1" ht="12.75"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74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</row>
    <row r="123" spans="25:109" s="26" customFormat="1" ht="12.75"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74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</row>
    <row r="124" spans="25:109" s="26" customFormat="1" ht="12.75"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74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</row>
    <row r="125" spans="25:109" s="26" customFormat="1" ht="12.75"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74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</row>
    <row r="126" spans="25:109" s="26" customFormat="1" ht="12.75"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74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</row>
    <row r="127" spans="25:109" s="26" customFormat="1" ht="12.75"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74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</row>
    <row r="128" spans="25:109" s="26" customFormat="1" ht="12.75"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74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</row>
    <row r="129" spans="25:109" s="26" customFormat="1" ht="12.75"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74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</row>
    <row r="130" spans="25:109" s="26" customFormat="1" ht="12.75"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74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</row>
    <row r="131" spans="25:109" s="26" customFormat="1" ht="12.75"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74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</row>
    <row r="132" spans="25:109" s="26" customFormat="1" ht="12.75"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74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</row>
    <row r="133" spans="25:109" s="26" customFormat="1" ht="12.75"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74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</row>
    <row r="134" spans="25:109" s="26" customFormat="1" ht="12.75"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74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</row>
    <row r="135" spans="25:109" s="26" customFormat="1" ht="12.75"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74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</row>
    <row r="136" spans="25:109" s="26" customFormat="1" ht="12.75"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74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</row>
    <row r="137" spans="25:109" s="26" customFormat="1" ht="12.75"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74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</row>
    <row r="138" spans="25:109" s="26" customFormat="1" ht="12.75"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74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</row>
    <row r="139" spans="25:109" s="26" customFormat="1" ht="12.75"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74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</row>
    <row r="140" spans="25:109" s="26" customFormat="1" ht="12.75"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74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</row>
    <row r="141" spans="25:109" s="26" customFormat="1" ht="12.75"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74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</row>
    <row r="142" spans="25:109" s="26" customFormat="1" ht="12.75"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74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</row>
    <row r="143" spans="25:109" s="26" customFormat="1" ht="12.75"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74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</row>
    <row r="144" spans="25:109" s="26" customFormat="1" ht="12.75"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74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</row>
    <row r="145" spans="25:109" s="26" customFormat="1" ht="12.75"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74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</row>
    <row r="146" spans="25:109" s="26" customFormat="1" ht="12.75"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74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</row>
    <row r="147" spans="25:109" s="26" customFormat="1" ht="12.75"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74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</row>
    <row r="148" spans="25:109" s="26" customFormat="1" ht="12.75"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74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</row>
    <row r="149" spans="25:109" s="26" customFormat="1" ht="12.75"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74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</row>
    <row r="150" spans="25:109" s="26" customFormat="1" ht="12.75"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74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</row>
    <row r="151" spans="25:109" s="26" customFormat="1" ht="12.75"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74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</row>
    <row r="152" spans="25:109" s="26" customFormat="1" ht="12.75"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74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</row>
    <row r="153" spans="25:109" s="26" customFormat="1" ht="12.75"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74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</row>
    <row r="154" spans="25:109" s="26" customFormat="1" ht="12.75"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74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</row>
    <row r="155" spans="25:109" s="26" customFormat="1" ht="12.75"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74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</row>
    <row r="156" spans="25:109" s="26" customFormat="1" ht="12.75"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74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</row>
    <row r="157" spans="25:109" s="26" customFormat="1" ht="12.75"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74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</row>
    <row r="158" spans="25:109" s="26" customFormat="1" ht="12.75"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74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</row>
    <row r="159" spans="25:109" s="26" customFormat="1" ht="12.75"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74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</row>
    <row r="160" spans="25:109" s="26" customFormat="1" ht="12.75"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74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</row>
    <row r="161" spans="25:109" s="26" customFormat="1" ht="12.75"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74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</row>
    <row r="162" spans="25:109" s="26" customFormat="1" ht="12.75"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74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</row>
    <row r="163" spans="25:109" s="26" customFormat="1" ht="12.75"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74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</row>
    <row r="164" spans="25:109" s="26" customFormat="1" ht="12.75"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74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</row>
    <row r="165" spans="25:109" s="26" customFormat="1" ht="12.75"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74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</row>
    <row r="166" spans="25:109" s="26" customFormat="1" ht="12.75"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74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</row>
    <row r="167" spans="25:109" s="26" customFormat="1" ht="12.75"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74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</row>
    <row r="168" spans="25:109" s="26" customFormat="1" ht="12.75"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74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</row>
    <row r="169" spans="25:109" s="26" customFormat="1" ht="12.75"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74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</row>
    <row r="170" spans="25:109" s="26" customFormat="1" ht="12.75"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74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</row>
    <row r="171" spans="25:109" s="26" customFormat="1" ht="12.75"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74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</row>
    <row r="172" spans="25:109" s="26" customFormat="1" ht="12.75"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74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</row>
    <row r="173" spans="25:109" s="26" customFormat="1" ht="12.75"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74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</row>
    <row r="174" spans="25:109" s="26" customFormat="1" ht="12.75"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74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</row>
    <row r="175" spans="25:109" s="26" customFormat="1" ht="12.75"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74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</row>
    <row r="176" spans="25:109" s="26" customFormat="1" ht="12.75"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74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</row>
    <row r="177" spans="25:109" s="26" customFormat="1" ht="12.75"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74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</row>
    <row r="178" spans="25:109" s="26" customFormat="1" ht="12.75"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74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</row>
    <row r="179" spans="25:109" s="26" customFormat="1" ht="12.75"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74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</row>
    <row r="180" spans="25:109" s="26" customFormat="1" ht="12.75"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74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</row>
    <row r="181" spans="25:109" s="26" customFormat="1" ht="12.75"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74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</row>
    <row r="182" spans="25:109" s="26" customFormat="1" ht="12.75"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74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</row>
    <row r="183" spans="25:109" s="26" customFormat="1" ht="12.75"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74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</row>
    <row r="184" spans="25:109" s="26" customFormat="1" ht="12.75"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74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</row>
    <row r="185" spans="25:109" s="26" customFormat="1" ht="12.75"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74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</row>
    <row r="186" spans="25:109" s="26" customFormat="1" ht="12.75"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74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</row>
    <row r="187" spans="25:109" s="26" customFormat="1" ht="12.75"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74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</row>
    <row r="188" spans="25:109" s="26" customFormat="1" ht="12.75"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74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</row>
    <row r="189" spans="25:109" s="26" customFormat="1" ht="12.75"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74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</row>
    <row r="190" spans="25:109" s="26" customFormat="1" ht="12.75"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74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</row>
    <row r="191" spans="25:109" s="26" customFormat="1" ht="12.75"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74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</row>
    <row r="192" spans="25:109" s="26" customFormat="1" ht="12.75"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74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</row>
    <row r="193" spans="25:109" s="26" customFormat="1" ht="12.75"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74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</row>
    <row r="194" spans="25:109" s="26" customFormat="1" ht="12.75"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74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</row>
    <row r="195" spans="25:109" s="26" customFormat="1" ht="12.75"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74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</row>
    <row r="196" spans="25:109" s="26" customFormat="1" ht="12.75"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74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</row>
    <row r="197" spans="25:109" s="26" customFormat="1" ht="12.75"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74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</row>
    <row r="198" spans="25:109" s="26" customFormat="1" ht="12.75"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74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</row>
    <row r="199" spans="25:109" s="26" customFormat="1" ht="12.75"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74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</row>
    <row r="200" spans="25:109" s="26" customFormat="1" ht="12.75"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74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</row>
    <row r="201" spans="25:109" s="26" customFormat="1" ht="12.75"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74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</row>
    <row r="202" spans="25:109" s="26" customFormat="1" ht="12.75"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74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</row>
    <row r="203" spans="25:109" s="26" customFormat="1" ht="12.75"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74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</row>
    <row r="204" spans="25:109" s="26" customFormat="1" ht="12.75"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74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</row>
    <row r="205" spans="25:109" s="26" customFormat="1" ht="12.75"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74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</row>
    <row r="206" spans="25:109" s="26" customFormat="1" ht="12.75"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74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</row>
    <row r="207" spans="25:109" s="26" customFormat="1" ht="12.75"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74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</row>
    <row r="208" spans="25:109" s="26" customFormat="1" ht="12.75"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74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</row>
    <row r="209" spans="25:109" s="26" customFormat="1" ht="12.75"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74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</row>
    <row r="210" spans="25:109" s="26" customFormat="1" ht="12.75"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74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</row>
    <row r="211" spans="25:109" s="26" customFormat="1" ht="12.75"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74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</row>
    <row r="212" spans="25:109" s="26" customFormat="1" ht="12.75"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74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</row>
    <row r="213" spans="25:109" s="26" customFormat="1" ht="12.75"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74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</row>
    <row r="214" spans="25:109" s="26" customFormat="1" ht="12.75"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74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</row>
    <row r="215" spans="25:109" s="26" customFormat="1" ht="12.75"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74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</row>
    <row r="216" spans="25:109" s="26" customFormat="1" ht="12.75"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74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</row>
    <row r="217" spans="25:109" s="26" customFormat="1" ht="12.75"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74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</row>
    <row r="218" spans="25:109" s="26" customFormat="1" ht="12.75"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74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</row>
    <row r="219" spans="25:109" s="26" customFormat="1" ht="12.75"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74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</row>
    <row r="220" spans="25:109" s="26" customFormat="1" ht="12.75"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74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</row>
    <row r="221" spans="25:109" s="26" customFormat="1" ht="12.75"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74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</row>
    <row r="222" spans="25:109" s="26" customFormat="1" ht="12.75"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74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</row>
    <row r="223" spans="25:109" s="26" customFormat="1" ht="12.75"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74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</row>
    <row r="224" spans="25:109" s="26" customFormat="1" ht="12.75"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74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</row>
    <row r="225" spans="25:109" s="26" customFormat="1" ht="12.75"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74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</row>
    <row r="226" spans="25:109" s="26" customFormat="1" ht="12.75"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74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</row>
    <row r="227" spans="25:109" s="26" customFormat="1" ht="12.75"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74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</row>
    <row r="228" spans="25:109" s="26" customFormat="1" ht="12.75"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74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</row>
    <row r="229" spans="25:109" s="26" customFormat="1" ht="12.75"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74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</row>
    <row r="230" spans="25:109" s="26" customFormat="1" ht="12.75"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74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</row>
    <row r="231" spans="25:109" s="26" customFormat="1" ht="12.75"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74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</row>
    <row r="232" spans="25:109" s="26" customFormat="1" ht="12.75"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74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</row>
    <row r="233" spans="25:109" s="26" customFormat="1" ht="12.75"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74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</row>
    <row r="234" spans="25:109" s="26" customFormat="1" ht="12.75"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74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</row>
    <row r="235" spans="25:109" s="26" customFormat="1" ht="12.75"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74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</row>
    <row r="236" spans="25:109" s="26" customFormat="1" ht="12.75"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74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</row>
    <row r="237" spans="25:109" s="26" customFormat="1" ht="12.75"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74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</row>
    <row r="238" spans="25:109" s="26" customFormat="1" ht="12.75"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74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</row>
    <row r="239" spans="25:109" s="26" customFormat="1" ht="12.75"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74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</row>
    <row r="240" spans="25:109" s="26" customFormat="1" ht="12.75"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74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</row>
    <row r="241" spans="25:109" s="26" customFormat="1" ht="12.75"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74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</row>
    <row r="242" spans="25:109" s="26" customFormat="1" ht="12.75"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74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</row>
    <row r="243" spans="25:109" s="26" customFormat="1" ht="12.75"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74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</row>
    <row r="244" spans="25:109" s="26" customFormat="1" ht="12.75"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74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</row>
    <row r="245" spans="25:109" s="26" customFormat="1" ht="12.75"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74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</row>
    <row r="246" spans="25:109" s="26" customFormat="1" ht="12.75"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74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</row>
    <row r="247" spans="25:109" s="26" customFormat="1" ht="12.75"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74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</row>
    <row r="248" spans="25:109" s="26" customFormat="1" ht="12.75"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74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</row>
    <row r="249" spans="25:109" s="26" customFormat="1" ht="12.75"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74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</row>
    <row r="250" spans="25:109" s="26" customFormat="1" ht="12.75"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74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</row>
    <row r="251" spans="25:109" s="26" customFormat="1" ht="12.75"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74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</row>
    <row r="252" spans="25:109" s="26" customFormat="1" ht="12.75"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74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</row>
    <row r="253" spans="25:109" s="26" customFormat="1" ht="12.75"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74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</row>
    <row r="254" spans="25:109" s="26" customFormat="1" ht="12.75"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74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</row>
    <row r="255" spans="25:109" s="26" customFormat="1" ht="12.75"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74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</row>
    <row r="256" spans="25:109" s="26" customFormat="1" ht="12.75"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74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</row>
    <row r="257" spans="25:109" s="26" customFormat="1" ht="12.75"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74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</row>
    <row r="258" spans="25:109" s="26" customFormat="1" ht="12.75"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74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</row>
    <row r="259" spans="25:109" s="26" customFormat="1" ht="12.75"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74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</row>
    <row r="260" spans="25:109" s="26" customFormat="1" ht="12.75"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74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</row>
    <row r="261" spans="25:109" s="26" customFormat="1" ht="12.75"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74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</row>
    <row r="262" spans="25:109" s="26" customFormat="1" ht="12.75"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74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</row>
    <row r="263" spans="25:109" s="26" customFormat="1" ht="12.75"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74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</row>
    <row r="264" spans="25:109" s="26" customFormat="1" ht="12.75"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74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</row>
    <row r="265" spans="25:109" s="26" customFormat="1" ht="12.75"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74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</row>
    <row r="266" spans="25:109" s="26" customFormat="1" ht="12.75"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74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</row>
    <row r="267" spans="25:109" s="26" customFormat="1" ht="12.75"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74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</row>
    <row r="268" spans="25:109" s="26" customFormat="1" ht="12.75"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74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</row>
    <row r="269" spans="25:109" s="26" customFormat="1" ht="12.75"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74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</row>
    <row r="270" spans="25:109" s="26" customFormat="1" ht="12.75"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74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</row>
    <row r="271" spans="25:109" s="26" customFormat="1" ht="12.75"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74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</row>
    <row r="272" spans="25:109" s="26" customFormat="1" ht="12.75"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74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</row>
    <row r="273" spans="25:109" s="26" customFormat="1" ht="12.75"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74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</row>
    <row r="274" spans="25:109" s="26" customFormat="1" ht="12.75"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74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</row>
    <row r="275" spans="25:109" s="26" customFormat="1" ht="12.75"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74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</row>
    <row r="276" spans="25:109" s="26" customFormat="1" ht="12.75"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74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</row>
    <row r="277" spans="25:109" s="26" customFormat="1" ht="12.75"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74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</row>
    <row r="278" spans="25:109" s="26" customFormat="1" ht="12.75"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74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</row>
    <row r="279" spans="25:109" s="26" customFormat="1" ht="12.75"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74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</row>
    <row r="280" spans="25:109" s="26" customFormat="1" ht="12.75"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74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</row>
    <row r="281" spans="25:109" s="26" customFormat="1" ht="12.75"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74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</row>
    <row r="282" spans="25:109" s="26" customFormat="1" ht="12.75"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74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</row>
    <row r="283" spans="25:109" s="26" customFormat="1" ht="12.75"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74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</row>
    <row r="284" spans="25:109" s="26" customFormat="1" ht="12.75"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74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</row>
    <row r="285" spans="25:109" s="26" customFormat="1" ht="12.75"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74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</row>
    <row r="286" spans="25:109" s="26" customFormat="1" ht="12.75"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74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</row>
    <row r="287" spans="25:109" s="26" customFormat="1" ht="12.75"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74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</row>
    <row r="288" spans="25:109" s="26" customFormat="1" ht="12.75"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74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</row>
    <row r="289" spans="25:109" s="26" customFormat="1" ht="12.75"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74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</row>
    <row r="290" spans="25:109" s="26" customFormat="1" ht="12.75"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74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</row>
    <row r="291" spans="25:109" s="26" customFormat="1" ht="12.75"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74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</row>
    <row r="292" spans="25:109" s="26" customFormat="1" ht="12.75"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74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</row>
    <row r="293" spans="25:109" s="26" customFormat="1" ht="12.75"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74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</row>
    <row r="294" spans="25:109" s="26" customFormat="1" ht="12.75"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74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</row>
    <row r="295" spans="25:109" s="26" customFormat="1" ht="12.75"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74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</row>
    <row r="296" spans="25:109" s="26" customFormat="1" ht="12.75"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74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</row>
    <row r="297" spans="25:109" s="26" customFormat="1" ht="12.75"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74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</row>
    <row r="298" spans="25:109" s="26" customFormat="1" ht="12.75"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74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</row>
    <row r="299" spans="25:109" s="26" customFormat="1" ht="12.75"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74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</row>
    <row r="300" spans="25:109" s="26" customFormat="1" ht="12.75"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74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</row>
    <row r="301" spans="25:109" s="26" customFormat="1" ht="12.75"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74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</row>
    <row r="302" spans="25:109" s="26" customFormat="1" ht="12.75"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74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</row>
    <row r="303" spans="25:109" s="26" customFormat="1" ht="12.75"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74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</row>
    <row r="304" spans="25:109" s="26" customFormat="1" ht="12.75"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74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</row>
    <row r="305" spans="25:109" s="26" customFormat="1" ht="12.75"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74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</row>
    <row r="306" spans="25:109" s="26" customFormat="1" ht="12.75"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74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</row>
    <row r="307" spans="25:109" s="26" customFormat="1" ht="12.75"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74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</row>
    <row r="308" spans="25:109" s="26" customFormat="1" ht="12.75"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74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</row>
    <row r="309" spans="25:109" s="26" customFormat="1" ht="12.75"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74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</row>
    <row r="310" spans="25:109" s="26" customFormat="1" ht="12.75"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74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</row>
    <row r="311" spans="25:109" s="26" customFormat="1" ht="12.75"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74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</row>
    <row r="312" spans="25:109" s="26" customFormat="1" ht="12.75"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74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</row>
    <row r="313" spans="25:109" s="26" customFormat="1" ht="12.75"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74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</row>
    <row r="314" spans="25:109" s="26" customFormat="1" ht="12.75"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74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</row>
    <row r="315" spans="25:109" s="26" customFormat="1" ht="12.75"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74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</row>
    <row r="316" spans="25:109" s="26" customFormat="1" ht="12.75"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74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</row>
    <row r="317" spans="25:109" s="26" customFormat="1" ht="12.75"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74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</row>
    <row r="318" spans="25:109" s="26" customFormat="1" ht="12.75"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74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</row>
    <row r="319" spans="25:109" s="26" customFormat="1" ht="12.75"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74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</row>
    <row r="320" spans="25:109" s="26" customFormat="1" ht="12.75"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74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</row>
    <row r="321" spans="25:109" s="26" customFormat="1" ht="12.75"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74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</row>
    <row r="322" spans="25:109" s="26" customFormat="1" ht="12.75"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74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</row>
    <row r="323" spans="25:109" s="26" customFormat="1" ht="12.75"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74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</row>
    <row r="324" spans="25:109" s="26" customFormat="1" ht="12.75"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74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</row>
    <row r="325" spans="25:109" s="26" customFormat="1" ht="12.75"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74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</row>
    <row r="326" spans="25:109" s="26" customFormat="1" ht="12.75"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74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</row>
    <row r="327" spans="25:109" s="26" customFormat="1" ht="12.75"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74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</row>
    <row r="328" spans="25:109" s="26" customFormat="1" ht="12.75"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74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</row>
    <row r="329" spans="25:109" s="26" customFormat="1" ht="12.75"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74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</row>
    <row r="330" spans="25:109" s="26" customFormat="1" ht="12.75"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74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</row>
    <row r="331" spans="25:109" s="26" customFormat="1" ht="12.75"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74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</row>
    <row r="332" spans="25:109" s="26" customFormat="1" ht="12.75"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74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</row>
    <row r="333" spans="25:109" s="26" customFormat="1" ht="12.75"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74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</row>
    <row r="334" spans="25:109" s="26" customFormat="1" ht="12.75"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74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</row>
    <row r="335" spans="25:109" s="26" customFormat="1" ht="12.75"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74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</row>
    <row r="336" spans="25:109" s="26" customFormat="1" ht="12.75"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74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</row>
    <row r="337" spans="25:109" s="26" customFormat="1" ht="12.75"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74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</row>
    <row r="338" spans="25:109" s="26" customFormat="1" ht="12.75"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74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</row>
    <row r="339" spans="25:109" s="26" customFormat="1" ht="12.75"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74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</row>
    <row r="340" spans="25:109" s="26" customFormat="1" ht="12.75"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74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</row>
  </sheetData>
  <mergeCells count="6">
    <mergeCell ref="AK7:AK10"/>
    <mergeCell ref="AA8:AI8"/>
    <mergeCell ref="A1:BD1"/>
    <mergeCell ref="A2:BD2"/>
    <mergeCell ref="A3:BD3"/>
    <mergeCell ref="A5:BD5"/>
  </mergeCells>
  <printOptions/>
  <pageMargins left="0.75" right="0.5" top="0.75" bottom="0.5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21">
      <selection activeCell="C31" sqref="C31"/>
    </sheetView>
  </sheetViews>
  <sheetFormatPr defaultColWidth="9.140625" defaultRowHeight="12.75"/>
  <cols>
    <col min="1" max="2" width="2.7109375" style="0" customWidth="1"/>
    <col min="3" max="3" width="26.28125" style="0" customWidth="1"/>
    <col min="4" max="4" width="1.28515625" style="0" customWidth="1"/>
    <col min="5" max="6" width="10.7109375" style="0" customWidth="1"/>
    <col min="7" max="7" width="13.7109375" style="0" customWidth="1"/>
    <col min="8" max="9" width="10.7109375" style="0" customWidth="1"/>
  </cols>
  <sheetData>
    <row r="1" spans="1:9" ht="15.75">
      <c r="A1" s="99" t="s">
        <v>28</v>
      </c>
      <c r="B1" s="99"/>
      <c r="C1" s="99"/>
      <c r="D1" s="99"/>
      <c r="E1" s="99"/>
      <c r="F1" s="99"/>
      <c r="G1" s="99"/>
      <c r="H1" s="99"/>
      <c r="I1" s="99"/>
    </row>
    <row r="2" spans="1:9" ht="12.75">
      <c r="A2" s="19"/>
      <c r="B2" s="104" t="s">
        <v>29</v>
      </c>
      <c r="C2" s="104"/>
      <c r="D2" s="104"/>
      <c r="E2" s="104"/>
      <c r="F2" s="104"/>
      <c r="G2" s="104"/>
      <c r="H2" s="104"/>
      <c r="I2" s="104"/>
    </row>
    <row r="3" spans="1:9" ht="12.75">
      <c r="A3" s="19"/>
      <c r="B3" s="22"/>
      <c r="C3" s="22"/>
      <c r="D3" s="22"/>
      <c r="E3" s="22"/>
      <c r="F3" s="22"/>
      <c r="G3" s="22"/>
      <c r="H3" s="22"/>
      <c r="I3" s="22"/>
    </row>
    <row r="4" spans="1:9" ht="12.75">
      <c r="A4" s="103" t="s">
        <v>188</v>
      </c>
      <c r="B4" s="103"/>
      <c r="C4" s="103"/>
      <c r="D4" s="103"/>
      <c r="E4" s="103"/>
      <c r="F4" s="103"/>
      <c r="G4" s="103"/>
      <c r="H4" s="103"/>
      <c r="I4" s="103"/>
    </row>
    <row r="5" spans="1:9" s="2" customFormat="1" ht="12.75">
      <c r="A5" s="98" t="s">
        <v>189</v>
      </c>
      <c r="B5" s="98"/>
      <c r="C5" s="98"/>
      <c r="D5" s="98"/>
      <c r="E5" s="98"/>
      <c r="F5" s="98"/>
      <c r="G5" s="98"/>
      <c r="H5" s="98"/>
      <c r="I5" s="98"/>
    </row>
    <row r="6" spans="1:9" s="2" customFormat="1" ht="12.75">
      <c r="A6" s="1"/>
      <c r="B6" s="1"/>
      <c r="C6" s="1"/>
      <c r="D6" s="1"/>
      <c r="E6" s="1"/>
      <c r="F6" s="1"/>
      <c r="G6" s="1"/>
      <c r="H6" s="1"/>
      <c r="I6" s="1"/>
    </row>
    <row r="8" spans="5:9" s="2" customFormat="1" ht="12.75">
      <c r="E8" s="1" t="s">
        <v>190</v>
      </c>
      <c r="F8" s="1" t="s">
        <v>192</v>
      </c>
      <c r="G8" s="1" t="s">
        <v>196</v>
      </c>
      <c r="H8" s="1" t="s">
        <v>194</v>
      </c>
      <c r="I8" s="1"/>
    </row>
    <row r="9" spans="5:9" s="2" customFormat="1" ht="12.75">
      <c r="E9" s="1" t="s">
        <v>191</v>
      </c>
      <c r="F9" s="1" t="s">
        <v>193</v>
      </c>
      <c r="G9" s="1" t="s">
        <v>197</v>
      </c>
      <c r="H9" s="1" t="s">
        <v>195</v>
      </c>
      <c r="I9" s="1" t="s">
        <v>198</v>
      </c>
    </row>
    <row r="10" spans="5:9" s="2" customFormat="1" ht="12.75">
      <c r="E10" s="1"/>
      <c r="F10" s="1"/>
      <c r="G10" s="1"/>
      <c r="H10" s="1"/>
      <c r="I10" s="1"/>
    </row>
    <row r="11" spans="5:9" s="2" customFormat="1" ht="12.75">
      <c r="E11" s="1"/>
      <c r="F11" s="1"/>
      <c r="G11" s="1"/>
      <c r="H11" s="1"/>
      <c r="I11" s="1"/>
    </row>
    <row r="12" spans="5:9" ht="12.75">
      <c r="E12" s="97" t="s">
        <v>14</v>
      </c>
      <c r="F12" s="97" t="s">
        <v>14</v>
      </c>
      <c r="G12" s="97" t="s">
        <v>14</v>
      </c>
      <c r="H12" s="97" t="s">
        <v>14</v>
      </c>
      <c r="I12" s="97" t="s">
        <v>14</v>
      </c>
    </row>
    <row r="14" spans="2:9" ht="12.75">
      <c r="B14" t="s">
        <v>202</v>
      </c>
      <c r="E14" s="93">
        <v>415</v>
      </c>
      <c r="F14" s="93">
        <v>1933</v>
      </c>
      <c r="G14" s="93">
        <v>1782</v>
      </c>
      <c r="H14" s="93">
        <v>2602</v>
      </c>
      <c r="I14" s="93">
        <f>SUM(E14:H14)</f>
        <v>6732</v>
      </c>
    </row>
    <row r="15" spans="5:9" ht="12.75">
      <c r="E15" s="93"/>
      <c r="F15" s="93"/>
      <c r="G15" s="93"/>
      <c r="H15" s="93"/>
      <c r="I15" s="93"/>
    </row>
    <row r="16" spans="5:9" ht="12.75">
      <c r="E16" s="93"/>
      <c r="F16" s="93"/>
      <c r="G16" s="93"/>
      <c r="H16" s="93"/>
      <c r="I16" s="93"/>
    </row>
    <row r="17" spans="2:9" ht="12.75">
      <c r="B17" t="s">
        <v>199</v>
      </c>
      <c r="E17" s="93">
        <v>0</v>
      </c>
      <c r="F17" s="93">
        <v>0</v>
      </c>
      <c r="G17" s="93">
        <v>0</v>
      </c>
      <c r="H17" s="93">
        <v>290</v>
      </c>
      <c r="I17" s="93">
        <f>SUM(E17:H17)</f>
        <v>290</v>
      </c>
    </row>
    <row r="18" spans="5:9" ht="12.75">
      <c r="E18" s="93"/>
      <c r="F18" s="93"/>
      <c r="G18" s="93"/>
      <c r="H18" s="93"/>
      <c r="I18" s="93"/>
    </row>
    <row r="19" spans="5:9" ht="12.75">
      <c r="E19" s="93"/>
      <c r="F19" s="93"/>
      <c r="G19" s="93"/>
      <c r="H19" s="93"/>
      <c r="I19" s="93"/>
    </row>
    <row r="20" spans="2:9" ht="12.75">
      <c r="B20" t="s">
        <v>205</v>
      </c>
      <c r="E20" s="93">
        <v>76</v>
      </c>
      <c r="F20" s="93">
        <v>1940</v>
      </c>
      <c r="G20" s="93">
        <v>1404</v>
      </c>
      <c r="H20" s="93">
        <v>0</v>
      </c>
      <c r="I20" s="93">
        <f>SUM(E20:H20)</f>
        <v>3420</v>
      </c>
    </row>
    <row r="21" spans="2:9" ht="12.75">
      <c r="B21" t="s">
        <v>206</v>
      </c>
      <c r="E21" s="93"/>
      <c r="F21" s="93"/>
      <c r="G21" s="93"/>
      <c r="H21" s="93"/>
      <c r="I21" s="93"/>
    </row>
    <row r="22" spans="5:9" ht="12.75">
      <c r="E22" s="93"/>
      <c r="F22" s="93"/>
      <c r="G22" s="93"/>
      <c r="H22" s="93"/>
      <c r="I22" s="93"/>
    </row>
    <row r="23" spans="2:9" ht="12.75">
      <c r="B23" t="s">
        <v>204</v>
      </c>
      <c r="E23" s="93">
        <v>6689</v>
      </c>
      <c r="F23" s="93">
        <v>-2441</v>
      </c>
      <c r="G23" s="93">
        <v>-3186</v>
      </c>
      <c r="H23" s="93">
        <v>-1062</v>
      </c>
      <c r="I23" s="93">
        <f>SUM(E23:H23)</f>
        <v>0</v>
      </c>
    </row>
    <row r="24" spans="5:9" ht="12.75">
      <c r="E24" s="93"/>
      <c r="F24" s="93"/>
      <c r="G24" s="93"/>
      <c r="H24" s="93"/>
      <c r="I24" s="93"/>
    </row>
    <row r="25" spans="5:9" ht="12.75">
      <c r="E25" s="94"/>
      <c r="F25" s="94"/>
      <c r="G25" s="94"/>
      <c r="H25" s="94"/>
      <c r="I25" s="94"/>
    </row>
    <row r="26" spans="2:9" ht="12.75">
      <c r="B26" t="s">
        <v>203</v>
      </c>
      <c r="E26" s="95">
        <f>SUM(E14:E24)</f>
        <v>7180</v>
      </c>
      <c r="F26" s="95">
        <f>SUM(F14:F24)</f>
        <v>1432</v>
      </c>
      <c r="G26" s="95">
        <f>SUM(G14:G24)</f>
        <v>0</v>
      </c>
      <c r="H26" s="95">
        <f>SUM(H14:H24)</f>
        <v>1830</v>
      </c>
      <c r="I26" s="95">
        <f>SUM(I14:I24)</f>
        <v>10442</v>
      </c>
    </row>
    <row r="27" spans="5:9" ht="13.5" thickBot="1">
      <c r="E27" s="96"/>
      <c r="F27" s="96"/>
      <c r="G27" s="96"/>
      <c r="H27" s="96"/>
      <c r="I27" s="96"/>
    </row>
    <row r="32" ht="12.75">
      <c r="B32" t="s">
        <v>21</v>
      </c>
    </row>
    <row r="33" ht="12.75">
      <c r="B33" t="s">
        <v>200</v>
      </c>
    </row>
    <row r="34" ht="12.75">
      <c r="B34" t="s">
        <v>201</v>
      </c>
    </row>
  </sheetData>
  <mergeCells count="4">
    <mergeCell ref="A1:I1"/>
    <mergeCell ref="B2:I2"/>
    <mergeCell ref="A4:I4"/>
    <mergeCell ref="A5:I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Technology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Technology Sdn. Bhd.</dc:creator>
  <cp:keywords/>
  <dc:description/>
  <cp:lastModifiedBy>Staff</cp:lastModifiedBy>
  <cp:lastPrinted>2005-05-27T10:21:18Z</cp:lastPrinted>
  <dcterms:created xsi:type="dcterms:W3CDTF">2005-05-10T02:48:58Z</dcterms:created>
  <dcterms:modified xsi:type="dcterms:W3CDTF">2005-05-27T10:24:32Z</dcterms:modified>
  <cp:category/>
  <cp:version/>
  <cp:contentType/>
  <cp:contentStatus/>
</cp:coreProperties>
</file>